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9360" windowHeight="2970" tabRatio="954" activeTab="0"/>
  </bookViews>
  <sheets>
    <sheet name="Dochody wł" sheetId="1" r:id="rId1"/>
    <sheet name="Dochody admi" sheetId="2" r:id="rId2"/>
    <sheet name="Przychody" sheetId="3" r:id="rId3"/>
    <sheet name="Wydatki wł" sheetId="4" r:id="rId4"/>
    <sheet name="Wydatki admi" sheetId="5" r:id="rId5"/>
    <sheet name="Rozchody" sheetId="6" r:id="rId6"/>
    <sheet name="Szkoły" sheetId="7" r:id="rId7"/>
    <sheet name="Doch.własne" sheetId="8" r:id="rId8"/>
    <sheet name="DOTACJE" sheetId="9" r:id="rId9"/>
    <sheet name="nalezn" sheetId="10" r:id="rId10"/>
    <sheet name="zobow" sheetId="11" r:id="rId11"/>
    <sheet name="PFOŚiGW2012-wyk 2015" sheetId="12" r:id="rId12"/>
    <sheet name="DOCHODY projekt z UE- 2015" sheetId="13" r:id="rId13"/>
    <sheet name="wydatki projekt z UE- 2015" sheetId="14" r:id="rId14"/>
    <sheet name="Jednostki" sheetId="15" r:id="rId15"/>
  </sheets>
  <definedNames>
    <definedName name="_xlnm.Print_Area" localSheetId="7">'Doch.własne'!$A$1:$D$34</definedName>
    <definedName name="_xlnm.Print_Area" localSheetId="1">'Dochody admi'!$A$1:$O$60</definedName>
    <definedName name="_xlnm.Print_Area" localSheetId="12">'DOCHODY projekt z UE- 2015'!$A$1:$K$201</definedName>
    <definedName name="_xlnm.Print_Area" localSheetId="0">'Dochody wł'!$A$1:$O$181</definedName>
    <definedName name="_xlnm.Print_Area" localSheetId="14">'Jednostki'!$A$1:$K$38</definedName>
    <definedName name="_xlnm.Print_Area" localSheetId="11">'PFOŚiGW2012-wyk 2015'!$A$1:$Q$46</definedName>
    <definedName name="_xlnm.Print_Area" localSheetId="2">'Przychody'!$A$1:$H$18</definedName>
    <definedName name="_xlnm.Print_Area" localSheetId="5">'Rozchody'!$A$1:$H$18</definedName>
    <definedName name="_xlnm.Print_Area" localSheetId="6">'Szkoły'!$A$1:$H$539</definedName>
    <definedName name="_xlnm.Print_Area" localSheetId="13">'wydatki projekt z UE- 2015'!$A$1:$K$141</definedName>
  </definedNames>
  <calcPr fullCalcOnLoad="1"/>
</workbook>
</file>

<file path=xl/sharedStrings.xml><?xml version="1.0" encoding="utf-8"?>
<sst xmlns="http://schemas.openxmlformats.org/spreadsheetml/2006/main" count="2329" uniqueCount="675">
  <si>
    <t>Wynagrodzenia osobowe pracowników</t>
  </si>
  <si>
    <t>Składki na Fundusz Pracy</t>
  </si>
  <si>
    <t>Pozostała działalność</t>
  </si>
  <si>
    <t>Różne opłaty i składki</t>
  </si>
  <si>
    <t xml:space="preserve"> </t>
  </si>
  <si>
    <t>Dodatkowe wynagrodzenie roczne</t>
  </si>
  <si>
    <t>Podróże służbowe krajowe</t>
  </si>
  <si>
    <t>Składki na ubezpieczenia społeczne</t>
  </si>
  <si>
    <t>Odpisy na ZFŚS</t>
  </si>
  <si>
    <t>Szkoły zawodowe specjalne</t>
  </si>
  <si>
    <t>RAZEM</t>
  </si>
  <si>
    <t>OGÓŁEM</t>
  </si>
  <si>
    <t>OGÓŁEM DOCHODY</t>
  </si>
  <si>
    <t>%</t>
  </si>
  <si>
    <t>020</t>
  </si>
  <si>
    <t>600</t>
  </si>
  <si>
    <t>60014</t>
  </si>
  <si>
    <t>700</t>
  </si>
  <si>
    <t>70005</t>
  </si>
  <si>
    <t>750</t>
  </si>
  <si>
    <t>75011</t>
  </si>
  <si>
    <t>75020</t>
  </si>
  <si>
    <t>756</t>
  </si>
  <si>
    <t>75622</t>
  </si>
  <si>
    <t>758</t>
  </si>
  <si>
    <t>75801</t>
  </si>
  <si>
    <t>75803</t>
  </si>
  <si>
    <t>75814</t>
  </si>
  <si>
    <t>853</t>
  </si>
  <si>
    <t>Rodziny zastępcze</t>
  </si>
  <si>
    <t>85333</t>
  </si>
  <si>
    <t>010</t>
  </si>
  <si>
    <t>Rolnictwo i łowiectwo</t>
  </si>
  <si>
    <t>710</t>
  </si>
  <si>
    <t>71012</t>
  </si>
  <si>
    <t>71013</t>
  </si>
  <si>
    <t>71014</t>
  </si>
  <si>
    <t>71015</t>
  </si>
  <si>
    <t>75045</t>
  </si>
  <si>
    <t>754</t>
  </si>
  <si>
    <t>75411</t>
  </si>
  <si>
    <t>851</t>
  </si>
  <si>
    <t>85156</t>
  </si>
  <si>
    <t>Zakup usług pozostałych</t>
  </si>
  <si>
    <t>Zakup materiałów i wyposażenia</t>
  </si>
  <si>
    <t>Zakup energii</t>
  </si>
  <si>
    <t>Zakup usług remontowych</t>
  </si>
  <si>
    <t>Wydatki inwestycyjne jednostek budżetowych</t>
  </si>
  <si>
    <t>Wydatki na zakupy inwestycyjne jednostek budżetowych</t>
  </si>
  <si>
    <t>75095</t>
  </si>
  <si>
    <t>801</t>
  </si>
  <si>
    <t>80102</t>
  </si>
  <si>
    <t>Szkoły podstawowe specjalne</t>
  </si>
  <si>
    <t>Zakup pomocy naukowych, dydaktycznych i książek</t>
  </si>
  <si>
    <t>Gimnazja specjalne</t>
  </si>
  <si>
    <t>80120</t>
  </si>
  <si>
    <t>Licea ogólnokształcące</t>
  </si>
  <si>
    <t>80130</t>
  </si>
  <si>
    <t>85111</t>
  </si>
  <si>
    <t>854</t>
  </si>
  <si>
    <t>85403</t>
  </si>
  <si>
    <t>Specjalne ośrodki szkolno-wychowawcze</t>
  </si>
  <si>
    <t>Zakup środków żywności</t>
  </si>
  <si>
    <t>85406</t>
  </si>
  <si>
    <t>85410</t>
  </si>
  <si>
    <t>Internaty i bursy szkolne</t>
  </si>
  <si>
    <t>921</t>
  </si>
  <si>
    <t>926</t>
  </si>
  <si>
    <t>OGÓŁEM wydatki i rozchody</t>
  </si>
  <si>
    <t>Szkoły zawodowe</t>
  </si>
  <si>
    <t>Podatek od nieruchomości</t>
  </si>
  <si>
    <t>01005</t>
  </si>
  <si>
    <t>Prace geodezyjno-urządzeniowe na potrzeby rolnictwa</t>
  </si>
  <si>
    <t>02001</t>
  </si>
  <si>
    <t>Wykonanie budżetu powiatu żagańskiego</t>
  </si>
  <si>
    <t>Zakup usług zdrowotnych</t>
  </si>
  <si>
    <t>85321</t>
  </si>
  <si>
    <r>
      <t xml:space="preserve">PRZYCHODY </t>
    </r>
    <r>
      <rPr>
        <b/>
        <sz val="10"/>
        <rFont val="Times New Roman CE"/>
        <family val="1"/>
      </rPr>
      <t>razem</t>
    </r>
  </si>
  <si>
    <t>w tym:</t>
  </si>
  <si>
    <r>
      <t xml:space="preserve">ROZCHODY </t>
    </r>
    <r>
      <rPr>
        <b/>
        <sz val="12"/>
        <rFont val="Times New Roman CE"/>
        <family val="1"/>
      </rPr>
      <t>razem:</t>
    </r>
  </si>
  <si>
    <t>92105</t>
  </si>
  <si>
    <t>Pozostałe zadania w zakresie kultury</t>
  </si>
  <si>
    <t>85195</t>
  </si>
  <si>
    <t>75414</t>
  </si>
  <si>
    <t>2460</t>
  </si>
  <si>
    <t>2360</t>
  </si>
  <si>
    <t>0420</t>
  </si>
  <si>
    <t>0750</t>
  </si>
  <si>
    <t>0920</t>
  </si>
  <si>
    <t>0970</t>
  </si>
  <si>
    <t>0010</t>
  </si>
  <si>
    <t>0020</t>
  </si>
  <si>
    <t>2920</t>
  </si>
  <si>
    <t>75832</t>
  </si>
  <si>
    <t>852</t>
  </si>
  <si>
    <t>85201</t>
  </si>
  <si>
    <t>85218</t>
  </si>
  <si>
    <t>2110</t>
  </si>
  <si>
    <t>85204</t>
  </si>
  <si>
    <t>0690</t>
  </si>
  <si>
    <t>2320</t>
  </si>
  <si>
    <t>Wydatki osobowe niezaliczone do wynagrodzeń</t>
  </si>
  <si>
    <t>Wynagrodzenia bezosobowe</t>
  </si>
  <si>
    <t>0870</t>
  </si>
  <si>
    <t>75618</t>
  </si>
  <si>
    <t>Pomoc materialna dla uczniów</t>
  </si>
  <si>
    <t>Podatek od towarów i usług (VAT)</t>
  </si>
  <si>
    <t>Dokształcanie i doskonalenie nauczycieli</t>
  </si>
  <si>
    <t>0470</t>
  </si>
  <si>
    <t>0830</t>
  </si>
  <si>
    <t>Zakup usług dostępu do sieci Internet</t>
  </si>
  <si>
    <t>Załącznik nr 3</t>
  </si>
  <si>
    <t>Załącznik nr 4</t>
  </si>
  <si>
    <t>OGÓŁEM dochody i przychody</t>
  </si>
  <si>
    <t>Załącznik nr 5</t>
  </si>
  <si>
    <t>Załącznik nr 6</t>
  </si>
  <si>
    <t>Załącznik nr 8</t>
  </si>
  <si>
    <t>Załącznik nr 7</t>
  </si>
  <si>
    <t>OGÓŁEM WYDATKI</t>
  </si>
  <si>
    <t>Paragraf</t>
  </si>
  <si>
    <t>Przychody</t>
  </si>
  <si>
    <t>plan</t>
  </si>
  <si>
    <t>wykonanie</t>
  </si>
  <si>
    <t>4210</t>
  </si>
  <si>
    <t>4270</t>
  </si>
  <si>
    <t>4300</t>
  </si>
  <si>
    <t>koniec okresu sprawozdawczego</t>
  </si>
  <si>
    <t>Wyszczególnienie</t>
  </si>
  <si>
    <t>Należności</t>
  </si>
  <si>
    <t>Zobowiązania</t>
  </si>
  <si>
    <t>Załącznik nr 11</t>
  </si>
  <si>
    <t>Dział</t>
  </si>
  <si>
    <t>Rozdział</t>
  </si>
  <si>
    <t>Wydatki</t>
  </si>
  <si>
    <t>Stan na początek okresu</t>
  </si>
  <si>
    <t>sprawozdawczego</t>
  </si>
  <si>
    <t>Stan na koniec okresu</t>
  </si>
  <si>
    <t>Załącznik nr 10</t>
  </si>
  <si>
    <t>75075</t>
  </si>
  <si>
    <t>2710</t>
  </si>
  <si>
    <t>2690</t>
  </si>
  <si>
    <t>Zaległości</t>
  </si>
  <si>
    <t>Nadpłaty</t>
  </si>
  <si>
    <t>6300</t>
  </si>
  <si>
    <t>Zaangażowanie</t>
  </si>
  <si>
    <t>4700</t>
  </si>
  <si>
    <t>Stan środków pieniężnych na</t>
  </si>
  <si>
    <t>początek okresu sprawozdawczego</t>
  </si>
  <si>
    <t>Załącznik nr 9</t>
  </si>
  <si>
    <t>Wykonanie budżetu szkół</t>
  </si>
  <si>
    <t>w y d a t k i</t>
  </si>
  <si>
    <t>plan po zmianach</t>
  </si>
  <si>
    <t>ZESPÓŁ SZKÓŁ PONADGIMNAZJALNYCH W SZPROTAWIE</t>
  </si>
  <si>
    <t>Licea Ogólnokształcące</t>
  </si>
  <si>
    <t xml:space="preserve">Szkoły zawodowe </t>
  </si>
  <si>
    <t>Stypendia oraz inne formy pomocy dla uczniów</t>
  </si>
  <si>
    <t xml:space="preserve">ZESPÓŁ SZKÓŁ OGÓLNOKSZTAŁCĄCYCH W ŻAGANIU  </t>
  </si>
  <si>
    <t>OŚRODEK SZKOLNO-WYCHOWAWCZY W SZPROTAWIE</t>
  </si>
  <si>
    <t>PORADNIA PSYCHOLOGICZNO-PEDAGOGICZNA W SZPROTAWIE</t>
  </si>
  <si>
    <t>OŚRODEK SZKOLNO-WYCHOWAWCZY W ŻAGANIU</t>
  </si>
  <si>
    <t>Składki na ubezpieczenia zdrowotne</t>
  </si>
  <si>
    <t>PORADNIA PSYCHOLOGICZNO-PEDAGOGICZNA W ŻAGANIU</t>
  </si>
  <si>
    <t>ZESPÓŁ SZKÓŁ ZAWODOWYCH W SZPROTAWIE</t>
  </si>
  <si>
    <t>ZESPÓŁ SZKÓŁ TEKSTYLNO-HANDLOWYCH W ŻAGANIU</t>
  </si>
  <si>
    <t xml:space="preserve">ZESPÓŁ SZKÓŁ PONADGIMNAZJALNYCH W IŁOWEJ </t>
  </si>
  <si>
    <t>Zakład Doskonalenia Zawodowego - Zielona Góra</t>
  </si>
  <si>
    <t>0680</t>
  </si>
  <si>
    <t>Dochody własne</t>
  </si>
  <si>
    <t>Dochody z zakresu administracji rządowej</t>
  </si>
  <si>
    <t>75802</t>
  </si>
  <si>
    <t>85311</t>
  </si>
  <si>
    <t>0840</t>
  </si>
  <si>
    <t>0490</t>
  </si>
  <si>
    <t>Lp.</t>
  </si>
  <si>
    <t>6430</t>
  </si>
  <si>
    <t>0910</t>
  </si>
  <si>
    <t>6180</t>
  </si>
  <si>
    <t>85395</t>
  </si>
  <si>
    <t>2009</t>
  </si>
  <si>
    <t>85324</t>
  </si>
  <si>
    <t>Wczesne wspomaganie rozwoju dziecka</t>
  </si>
  <si>
    <t xml:space="preserve">ZESPÓŁ SZKÓŁ TECHNICZNYCH I LICEALNYCH W ŻAGANIU </t>
  </si>
  <si>
    <t>PCPR</t>
  </si>
  <si>
    <t>Starostwo</t>
  </si>
  <si>
    <t>Nazwa jednostki</t>
  </si>
  <si>
    <t>Dochody</t>
  </si>
  <si>
    <t>Depozyty</t>
  </si>
  <si>
    <t>organizacyjnej</t>
  </si>
  <si>
    <t>wymagalne</t>
  </si>
  <si>
    <t>do zapłaty</t>
  </si>
  <si>
    <t>RB-N</t>
  </si>
  <si>
    <t>Rb-Z</t>
  </si>
  <si>
    <t>Rb-N</t>
  </si>
  <si>
    <t>3.2 kol 2,3,10</t>
  </si>
  <si>
    <t>1</t>
  </si>
  <si>
    <t>ZSP Szprotawa</t>
  </si>
  <si>
    <t>2</t>
  </si>
  <si>
    <t>ZSO Żagań</t>
  </si>
  <si>
    <t>3</t>
  </si>
  <si>
    <t>4</t>
  </si>
  <si>
    <t>PPP Szprotawa</t>
  </si>
  <si>
    <t>5</t>
  </si>
  <si>
    <t>6</t>
  </si>
  <si>
    <t>PPP Żagań</t>
  </si>
  <si>
    <t>7</t>
  </si>
  <si>
    <t>ZSZ Szprotawa</t>
  </si>
  <si>
    <t>8</t>
  </si>
  <si>
    <t>ZSTH Żagań</t>
  </si>
  <si>
    <t>9</t>
  </si>
  <si>
    <t>10</t>
  </si>
  <si>
    <t>ZSP Iłowa</t>
  </si>
  <si>
    <t>Razem szkoły</t>
  </si>
  <si>
    <t>11</t>
  </si>
  <si>
    <t>PINB</t>
  </si>
  <si>
    <t>12</t>
  </si>
  <si>
    <t>PUP</t>
  </si>
  <si>
    <t>13</t>
  </si>
  <si>
    <t>14</t>
  </si>
  <si>
    <t>Straż</t>
  </si>
  <si>
    <t>15</t>
  </si>
  <si>
    <t>Dom Dziecka</t>
  </si>
  <si>
    <t>Inspekcje</t>
  </si>
  <si>
    <t>Razem szkoły i inspekcje</t>
  </si>
  <si>
    <t>16</t>
  </si>
  <si>
    <t>Ogółem:</t>
  </si>
  <si>
    <t>dotacja</t>
  </si>
  <si>
    <t>ZSTiL Żagań</t>
  </si>
  <si>
    <t>0770</t>
  </si>
  <si>
    <t>2540</t>
  </si>
  <si>
    <t>2580</t>
  </si>
  <si>
    <t>§</t>
  </si>
  <si>
    <t>Nazwa zadania</t>
  </si>
  <si>
    <t>Kwota dotacji ogółem:</t>
  </si>
  <si>
    <t>dotacje dla jednostek sektora finansów publicznych</t>
  </si>
  <si>
    <t>dotacje dla jednostek spoza sektora finansów publicznych</t>
  </si>
  <si>
    <t>przedmiotowe</t>
  </si>
  <si>
    <t>podmiotowe</t>
  </si>
  <si>
    <t xml:space="preserve"> celowe</t>
  </si>
  <si>
    <t xml:space="preserve">zadania bieżące </t>
  </si>
  <si>
    <t>1.</t>
  </si>
  <si>
    <t>Placówki opiekuńczo - wychowawcze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</si>
  <si>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</si>
  <si>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</si>
  <si>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</si>
  <si>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</si>
  <si>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</si>
  <si>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</si>
  <si>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</si>
  <si>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</si>
  <si>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</si>
  <si>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</si>
  <si>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zadania majątkowe</t>
  </si>
  <si>
    <t>Plan ogółem:</t>
  </si>
  <si>
    <t xml:space="preserve">wykonanie </t>
  </si>
  <si>
    <t xml:space="preserve"> wykonanie w tym:</t>
  </si>
  <si>
    <t>DOCHODY BIEŻĄCE</t>
  </si>
  <si>
    <t>DOCHODY MAJĄTKOWE</t>
  </si>
  <si>
    <t>Treść</t>
  </si>
  <si>
    <t>dochody własne</t>
  </si>
  <si>
    <t>subwencje</t>
  </si>
  <si>
    <t>dotacje celowe</t>
  </si>
  <si>
    <t>środki unijne</t>
  </si>
  <si>
    <t>Dotacje celowe otrzymane z budżetu państwa na zadania bieżące z zakresu administracji rządowej oraz inne zadania zlecone ustawami realizowane przez powiat</t>
  </si>
  <si>
    <t>razem:</t>
  </si>
  <si>
    <t>w tym bieżące i majątkowe</t>
  </si>
  <si>
    <t>6207</t>
  </si>
  <si>
    <t>dotacje na inwestycje</t>
  </si>
  <si>
    <t>dochody ze sprzedaży majątku §0770; 0780; 0870</t>
  </si>
  <si>
    <t>2007</t>
  </si>
  <si>
    <t>752</t>
  </si>
  <si>
    <t>75212</t>
  </si>
  <si>
    <t>pozostałe dochody majątkowe</t>
  </si>
  <si>
    <t>85205</t>
  </si>
  <si>
    <t>900</t>
  </si>
  <si>
    <t>90019</t>
  </si>
  <si>
    <t>92695</t>
  </si>
  <si>
    <t>wykonanie wydatków w tym:</t>
  </si>
  <si>
    <t>Wydatki 
bieżące</t>
  </si>
  <si>
    <t>z tego:</t>
  </si>
  <si>
    <t>Wydatki 
majątkowe</t>
  </si>
  <si>
    <t>inwestycje i zakupy inwestycyjne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</si>
  <si>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</si>
  <si>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</si>
  <si>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</si>
  <si>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</si>
  <si>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</si>
  <si>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razem:</t>
  </si>
  <si>
    <t>Wydatki własne</t>
  </si>
  <si>
    <t>wydatki 
jednostek
budżetowych</t>
  </si>
  <si>
    <t>wydatki związane z realizacją ich statutowych zadań</t>
  </si>
  <si>
    <t>świadczenia na rzecz osób fizycznych</t>
  </si>
  <si>
    <t>zakup i objęcie akcji i udziałów oraz wniesienie wkładów do spółek prawa handlowego</t>
  </si>
  <si>
    <t>na programy finansowane z udziałem środków, o których mowa w art. 5 ust. 1 pkt 2 i 3</t>
  </si>
  <si>
    <t>Wydatki z zakresu administracji rządowej</t>
  </si>
  <si>
    <t>4309</t>
  </si>
  <si>
    <t>4010</t>
  </si>
  <si>
    <t>4040</t>
  </si>
  <si>
    <t>4110</t>
  </si>
  <si>
    <t>4120</t>
  </si>
  <si>
    <t>4020</t>
  </si>
  <si>
    <t>4360</t>
  </si>
  <si>
    <t>4390</t>
  </si>
  <si>
    <t>4410</t>
  </si>
  <si>
    <t>4430</t>
  </si>
  <si>
    <t>4440</t>
  </si>
  <si>
    <t>4170</t>
  </si>
  <si>
    <t>4280</t>
  </si>
  <si>
    <t>3020</t>
  </si>
  <si>
    <t>3070</t>
  </si>
  <si>
    <t>4050</t>
  </si>
  <si>
    <t>4060</t>
  </si>
  <si>
    <t>4070</t>
  </si>
  <si>
    <t>4180</t>
  </si>
  <si>
    <t>4220</t>
  </si>
  <si>
    <t>4230</t>
  </si>
  <si>
    <t>4260</t>
  </si>
  <si>
    <t>4420</t>
  </si>
  <si>
    <t>4480</t>
  </si>
  <si>
    <t>4510</t>
  </si>
  <si>
    <t>4520</t>
  </si>
  <si>
    <t>6050</t>
  </si>
  <si>
    <t>4130</t>
  </si>
  <si>
    <t>4400</t>
  </si>
  <si>
    <t>3030</t>
  </si>
  <si>
    <t>02002</t>
  </si>
  <si>
    <t>60016</t>
  </si>
  <si>
    <t>6060</t>
  </si>
  <si>
    <t>630</t>
  </si>
  <si>
    <t>63003</t>
  </si>
  <si>
    <t>71005</t>
  </si>
  <si>
    <t>75019</t>
  </si>
  <si>
    <t>4240</t>
  </si>
  <si>
    <t>4380</t>
  </si>
  <si>
    <t>4610</t>
  </si>
  <si>
    <t>4177</t>
  </si>
  <si>
    <t>4179</t>
  </si>
  <si>
    <t>4217</t>
  </si>
  <si>
    <t>4219</t>
  </si>
  <si>
    <t>4307</t>
  </si>
  <si>
    <t>2900</t>
  </si>
  <si>
    <t>75405</t>
  </si>
  <si>
    <t>3000</t>
  </si>
  <si>
    <t>757</t>
  </si>
  <si>
    <t>75702</t>
  </si>
  <si>
    <t>8110</t>
  </si>
  <si>
    <t>75818</t>
  </si>
  <si>
    <t>4810</t>
  </si>
  <si>
    <t>80111</t>
  </si>
  <si>
    <t>80134</t>
  </si>
  <si>
    <t>80146</t>
  </si>
  <si>
    <t>80195</t>
  </si>
  <si>
    <t>4530</t>
  </si>
  <si>
    <t>3110</t>
  </si>
  <si>
    <t>85220</t>
  </si>
  <si>
    <t>4017</t>
  </si>
  <si>
    <t>4117</t>
  </si>
  <si>
    <t>4127</t>
  </si>
  <si>
    <t>4417</t>
  </si>
  <si>
    <t>4019</t>
  </si>
  <si>
    <t>4119</t>
  </si>
  <si>
    <t>4129</t>
  </si>
  <si>
    <t>85404</t>
  </si>
  <si>
    <t>85415</t>
  </si>
  <si>
    <t>3240</t>
  </si>
  <si>
    <t>85446</t>
  </si>
  <si>
    <t>85495</t>
  </si>
  <si>
    <t>92116</t>
  </si>
  <si>
    <t>92605</t>
  </si>
  <si>
    <t>załącznik nr 13</t>
  </si>
  <si>
    <t>950</t>
  </si>
  <si>
    <t>Wolne środki, o których mowa w art. 217 ust. 2 pkt 6 ustawy</t>
  </si>
  <si>
    <t>załącznik nr 12</t>
  </si>
  <si>
    <t>2120</t>
  </si>
  <si>
    <t>6209</t>
  </si>
  <si>
    <t>4590</t>
  </si>
  <si>
    <t>4419</t>
  </si>
  <si>
    <t>4211</t>
  </si>
  <si>
    <t>4301</t>
  </si>
  <si>
    <t>4421</t>
  </si>
  <si>
    <t>92120</t>
  </si>
  <si>
    <t>2720</t>
  </si>
  <si>
    <t>Podróże służbowe zagraniczne</t>
  </si>
  <si>
    <t>2700</t>
  </si>
  <si>
    <t>Zakład Doskonalenia Zawodowego w Zielonej Górze- Liceum Ogólnokształcące dla dorosłych</t>
  </si>
  <si>
    <t>Niepubliczna Zasadnicza Szkoła Zawodowa w Wiechlicach</t>
  </si>
  <si>
    <t>12.</t>
  </si>
  <si>
    <t>i wydatków nimi finansowanych</t>
  </si>
  <si>
    <t>DOCHODY</t>
  </si>
  <si>
    <t>WYDATKI</t>
  </si>
  <si>
    <t>Wykonanie</t>
  </si>
  <si>
    <t>KWOTA</t>
  </si>
  <si>
    <t>ZMIANA RP 03/2011</t>
  </si>
  <si>
    <t>PO ZMIANIE 03/2011</t>
  </si>
  <si>
    <t>ZMIANA RP 06/2011</t>
  </si>
  <si>
    <t>Gospodarka komunalna i ochrona środowiska</t>
  </si>
  <si>
    <t>Wpływy i wydatki związane z gromadzeniem środków z opłat i kar za korzystanie ze środowiska</t>
  </si>
  <si>
    <t>Wpływy z różnych opłat</t>
  </si>
  <si>
    <t>Bezpieczeństwo publiczne i ochrona przeciwpożarowa</t>
  </si>
  <si>
    <t>Komendy powiatowe Państwowej Straży Pożarnej</t>
  </si>
  <si>
    <t>RAZEM DOCHODY</t>
  </si>
  <si>
    <t>RAZEM WYDATKI</t>
  </si>
  <si>
    <t>załącznik nr 14</t>
  </si>
  <si>
    <t>Plan</t>
  </si>
  <si>
    <t>Pln</t>
  </si>
  <si>
    <t>Nazwa</t>
  </si>
  <si>
    <t>Klasyfikacja</t>
  </si>
  <si>
    <t>Szkolenia pracowników niebędących członkami korpusu służby cywilnej</t>
  </si>
  <si>
    <t>wkład własny do projektu "Zakup agregatu pompowego na cele przeciwpowodziowe dla KPPSP w Żaganiu"</t>
  </si>
  <si>
    <t>Projekt</t>
  </si>
  <si>
    <t>Kategoria interwencji funduszy strukturalnych</t>
  </si>
  <si>
    <t xml:space="preserve">Klasyfikacja (dział, rozdział)
</t>
  </si>
  <si>
    <t>razem projekt</t>
  </si>
  <si>
    <t>w tym DOCHODY inwestycyjne 620;</t>
  </si>
  <si>
    <t>w tym DOCHODY bieżące-200</t>
  </si>
  <si>
    <t>Środki
z budżetu krajowego   9</t>
  </si>
  <si>
    <t>Środki
z budżetu UE- 7           PROW(8)</t>
  </si>
  <si>
    <t>NIEKWALIFIKOWALNE  - 0</t>
  </si>
  <si>
    <t>Program: Lubuski Regionalny Program Operacyjny na lata 2007-2013</t>
  </si>
  <si>
    <t>Powiat Żagański</t>
  </si>
  <si>
    <t>Priorytet:III.  Ochrona i zarządzanie zasobami środowiska przyrodniczego</t>
  </si>
  <si>
    <t>801; 80120</t>
  </si>
  <si>
    <t>801; 80130</t>
  </si>
  <si>
    <t xml:space="preserve">Program Operacyjny Współpracy Transgranicznej Polska-Saksonia 2007-2013 </t>
  </si>
  <si>
    <t>Priorytet: 3. Ochrona i zarządzanie zasobami środowiska przyrodniczego</t>
  </si>
  <si>
    <t>Działanie: 3.3. Zarządzanie środowiskiem przyrodniczym</t>
  </si>
  <si>
    <t>Program Operacyjny Współpracy Transgranicznej Polska-Brandenburgia 2007-2013 w ramach Europejskiej Współpracy Terytorialnej</t>
  </si>
  <si>
    <t>Priorytet: 3. Wspieranie dalszego rozwoju zasobów ludzkich i transgranicznej kooperacji</t>
  </si>
  <si>
    <t>Działanie:3.2. Współpraca i spotkania (FMP i projekty sieciowe)</t>
  </si>
  <si>
    <r>
      <t xml:space="preserve">Nazwa projektu: </t>
    </r>
    <r>
      <rPr>
        <b/>
        <sz val="8"/>
        <color indexed="8"/>
        <rFont val="Times New Roman"/>
        <family val="1"/>
      </rPr>
      <t>Młodzież Polska i Niemiecka tworzy nowoczesne oferty turystyczne dla wzmocnienia gospodarki regionalnej w euroregionie "Sprewa-Nysa -Bóbr"</t>
    </r>
  </si>
  <si>
    <t>Priorytet: Transgraniczna integracja społeczna</t>
  </si>
  <si>
    <t>Działanie:  Fundusz Małych projektów</t>
  </si>
  <si>
    <t>środki własne FP-(9)-85322</t>
  </si>
  <si>
    <t>Priorytet:VII.Promocja Integracji Społecznej</t>
  </si>
  <si>
    <t>13.</t>
  </si>
  <si>
    <t>14.</t>
  </si>
  <si>
    <t>15.</t>
  </si>
  <si>
    <t>Działanie:7.1. Rozwój i upowszechnienie Aktywnej Integracji</t>
  </si>
  <si>
    <t>16.</t>
  </si>
  <si>
    <t>Program "Wokół Europy"</t>
  </si>
  <si>
    <t>Środki Komisji Europejskiej</t>
  </si>
  <si>
    <t>Departament Kultury i Edukacji</t>
  </si>
  <si>
    <t>17.</t>
  </si>
  <si>
    <r>
      <t>Nazwa projektu:</t>
    </r>
    <r>
      <rPr>
        <b/>
        <sz val="8"/>
        <color indexed="8"/>
        <rFont val="Times New Roman"/>
        <family val="1"/>
      </rPr>
      <t xml:space="preserve"> INDYWIDUALIZACJA PROCESU NAUCZANIA I WYCHOWANIA UCZNIÓW KLAS I-III SZKÓŁ PODSTAWOWYCH</t>
    </r>
  </si>
  <si>
    <t>18.</t>
  </si>
  <si>
    <t>19.</t>
  </si>
  <si>
    <t>Priorytet IX: Rozwój wykształcenia i kompetencji w regionach</t>
  </si>
  <si>
    <t>Działanie 9.2: Podniesienie atrakcyjności i jakości szkolnictwa zawodowego</t>
  </si>
  <si>
    <t>926; 92695</t>
  </si>
  <si>
    <t>x</t>
  </si>
  <si>
    <t>R-em bieżące i majątkowe</t>
  </si>
  <si>
    <t>Działanie: 6.1.Poprawa dostępu do zatrudnienia i wspieranie aktywności zawodowej w regionie</t>
  </si>
  <si>
    <t>ZSTH w Żaganiu</t>
  </si>
  <si>
    <t>majątkowe</t>
  </si>
  <si>
    <t>bieżące</t>
  </si>
  <si>
    <t>Sprawozdanie z wykonania planu</t>
  </si>
  <si>
    <t>wydzielonego rachunku dochodów jednostek oświatowych</t>
  </si>
  <si>
    <t>75406</t>
  </si>
  <si>
    <t>75421</t>
  </si>
  <si>
    <t>6800</t>
  </si>
  <si>
    <t>6630</t>
  </si>
  <si>
    <t>0960</t>
  </si>
  <si>
    <t>Oświata i wychowanie</t>
  </si>
  <si>
    <t>wkład własny do zadania "Termomodernizacja budynku Zespołu Szkół Technicznych i Licealnych w Żaganiu" - całkowity koszt 2.120.464,00 zł</t>
  </si>
  <si>
    <t>750; 75075</t>
  </si>
  <si>
    <t>754; 75411</t>
  </si>
  <si>
    <r>
      <t>Nazwa projektu:</t>
    </r>
    <r>
      <rPr>
        <b/>
        <sz val="8"/>
        <color indexed="8"/>
        <rFont val="Times New Roman"/>
        <family val="1"/>
      </rPr>
      <t xml:space="preserve"> TWOJA KARIERA III</t>
    </r>
  </si>
  <si>
    <r>
      <t>Nazwa projektu:</t>
    </r>
    <r>
      <rPr>
        <b/>
        <sz val="8"/>
        <color indexed="8"/>
        <rFont val="Times New Roman"/>
        <family val="1"/>
      </rPr>
      <t xml:space="preserve"> ZAKUP AGREGATU POMPOWEGO NA CELE PRZECIWPOWODZIOWE DLA KPPSP W ŻAGANIU 2011-2012</t>
    </r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</si>
  <si>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ŻAGANIU"</t>
    </r>
  </si>
  <si>
    <t>ZSO w Żaganiu</t>
  </si>
  <si>
    <t>Dotacja dla Miasta Zielona Góra za kształcenie uczniów klas wielozawodowych w ODDiDZ</t>
  </si>
  <si>
    <t xml:space="preserve">PLAN NA 30.06.2013 ROK </t>
  </si>
  <si>
    <t>Środki
z budżetu UE- 7 , 1       PROW(8)</t>
  </si>
  <si>
    <t>750; 75095</t>
  </si>
  <si>
    <t>Priorytet: 2. Transgraniczna integracja społeczna</t>
  </si>
  <si>
    <t>Działanie: 2.4. Bezpieczeństwo publiczne</t>
  </si>
  <si>
    <r>
      <t>Nazwa projektu:</t>
    </r>
    <r>
      <rPr>
        <b/>
        <sz val="8"/>
        <color indexed="8"/>
        <rFont val="Times New Roman"/>
        <family val="1"/>
      </rPr>
      <t xml:space="preserve"> RATOWNICY PONAD GRANICAMI</t>
    </r>
  </si>
  <si>
    <t>Program: Program Operacyjny Kapitał Ludzki</t>
  </si>
  <si>
    <t>Priorytet:VI. Rynek pracy otwarty dla wszystkich</t>
  </si>
  <si>
    <t>PUP w Żaganiu</t>
  </si>
  <si>
    <t>853; 85333</t>
  </si>
  <si>
    <t>Priorytet:VII. Promocja integracji społecznej</t>
  </si>
  <si>
    <t>Działanie: 7.2.Przeciwdziałalnie wykluczeniu i wzmocnienie sektora ekonomii społecznej</t>
  </si>
  <si>
    <r>
      <t>Nazwa projektu:</t>
    </r>
    <r>
      <rPr>
        <b/>
        <sz val="8"/>
        <color indexed="8"/>
        <rFont val="Times New Roman"/>
        <family val="1"/>
      </rPr>
      <t xml:space="preserve"> POWIATOWA ŚCIEŻKA REINTEGRACJI SPOŁECZNEJ I ZAWODOWEJ ON"</t>
    </r>
  </si>
  <si>
    <t>853; 85395</t>
  </si>
  <si>
    <t>PCPR w Żaganiu</t>
  </si>
  <si>
    <t>Priorytet:IX Rozwój wykształcenia i kompetencji w regionach</t>
  </si>
  <si>
    <t>Działanie:9.1.2 Wyrównywanie szans edukacyjnych uczniów grup o utrudnionym dostępie do edukacji oraz zmniejszenie różnic w jakości usług edukacyjnych.</t>
  </si>
  <si>
    <t xml:space="preserve">Program: Program Operacyjny Kapitał Ludzki </t>
  </si>
  <si>
    <t>Działanie:3.2. Poprawa jakości powietrza efektywności energetycznej oraz rozwój i wykorzystanie odnawialnych źródeł energii</t>
  </si>
  <si>
    <r>
      <t>Nazwa projektu:</t>
    </r>
    <r>
      <rPr>
        <b/>
        <sz val="8"/>
        <color indexed="8"/>
        <rFont val="Times New Roman"/>
        <family val="1"/>
      </rPr>
      <t>Termomodernizacja budynku Zespołu Szkół Technicznych i Licealnych w Żaganiu</t>
    </r>
  </si>
  <si>
    <t>Priorytet:IV.  Rozwój i modernizacja infrastruktury społecznej</t>
  </si>
  <si>
    <t>Działanie:4.2.2. Rozwój i modernizacja lokalnej infrastruktury edukacyjnej</t>
  </si>
  <si>
    <t>Kategoria interwencji 75. Infrastruktura systemu oświaty</t>
  </si>
  <si>
    <r>
      <t>Nazwa projektu:</t>
    </r>
    <r>
      <rPr>
        <b/>
        <sz val="8"/>
        <color indexed="8"/>
        <rFont val="Times New Roman"/>
        <family val="1"/>
      </rPr>
      <t>Przebudowa warsztatów szkolnych na potrzeby szkolnictwa zawodowego w Powiecie Żagańskim"</t>
    </r>
  </si>
  <si>
    <t>WYKONANIE ZA I PÓŁROCZE 2013 R.</t>
  </si>
  <si>
    <r>
      <t>Nazwa projektu:</t>
    </r>
    <r>
      <rPr>
        <b/>
        <sz val="8"/>
        <color indexed="8"/>
        <rFont val="Times New Roman"/>
        <family val="1"/>
      </rPr>
      <t xml:space="preserve"> "POLSKO-NIEMIECKA PROMOCJA TURYSTYKI"</t>
    </r>
  </si>
  <si>
    <r>
      <t>Nazwa projektu:</t>
    </r>
    <r>
      <rPr>
        <b/>
        <sz val="8"/>
        <rFont val="Times New Roman"/>
        <family val="1"/>
      </rPr>
      <t xml:space="preserve"> "POLSKO-NIEMIECKA WSPÓŁPRACA SAMORZĄDOWA"</t>
    </r>
  </si>
  <si>
    <t>854; 85495</t>
  </si>
  <si>
    <r>
      <t xml:space="preserve">Nazwa projektu: </t>
    </r>
    <r>
      <rPr>
        <b/>
        <sz val="8"/>
        <rFont val="Times New Roman"/>
        <family val="1"/>
      </rPr>
      <t>WYKSZTAŁCENIE ZAWODOWE TO DOBRY WYBÓR</t>
    </r>
  </si>
  <si>
    <r>
      <t xml:space="preserve">Nazwa projektu: </t>
    </r>
    <r>
      <rPr>
        <b/>
        <sz val="8"/>
        <rFont val="Times New Roman"/>
        <family val="1"/>
      </rPr>
      <t>POMOC SPOŁECZNA - NOWE WYZWANIA -POLSKO-NIEMIECKA WYMIANA DOŚWIADCZEŃ</t>
    </r>
  </si>
  <si>
    <r>
      <t>Nazwa projektu:</t>
    </r>
    <r>
      <rPr>
        <b/>
        <sz val="8"/>
        <color indexed="8"/>
        <rFont val="Times New Roman"/>
        <family val="1"/>
      </rPr>
      <t xml:space="preserve"> COMENIUS- PARTNERSKI PROJEKT SZKÓŁ - Bilet w jedną stonę do życia zawodowego</t>
    </r>
  </si>
  <si>
    <t>01008</t>
  </si>
  <si>
    <t>w tym WYDATKI inwestycyjne 620;</t>
  </si>
  <si>
    <t>w tym WYDATKI bieżące-200</t>
  </si>
  <si>
    <t>Gimnazja</t>
  </si>
  <si>
    <t>Opłaty na rzecz budżetu państwa</t>
  </si>
  <si>
    <t>2130</t>
  </si>
  <si>
    <t>80110</t>
  </si>
  <si>
    <t>4431</t>
  </si>
  <si>
    <t>85141</t>
  </si>
  <si>
    <t>6220</t>
  </si>
  <si>
    <r>
      <t>Nazwa projektu:</t>
    </r>
    <r>
      <rPr>
        <b/>
        <sz val="8"/>
        <color indexed="8"/>
        <rFont val="Times New Roman"/>
        <family val="1"/>
      </rPr>
      <t xml:space="preserve"> "POLSKO-NIEMIECKA PROMOCJA POWIATU ŻAGAŃSKIEGO"</t>
    </r>
  </si>
  <si>
    <r>
      <t xml:space="preserve">Nazwa projektu: </t>
    </r>
    <r>
      <rPr>
        <b/>
        <sz val="8"/>
        <color indexed="8"/>
        <rFont val="Times New Roman"/>
        <family val="1"/>
      </rPr>
      <t>"TRADYCJA NA START"</t>
    </r>
  </si>
  <si>
    <r>
      <t>Nazwa projektu:</t>
    </r>
    <r>
      <rPr>
        <b/>
        <sz val="8"/>
        <color indexed="8"/>
        <rFont val="Times New Roman"/>
        <family val="1"/>
      </rPr>
      <t xml:space="preserve"> "TURYSTYKA NA START"</t>
    </r>
  </si>
  <si>
    <t>23.</t>
  </si>
  <si>
    <t>24.</t>
  </si>
  <si>
    <t>Priorytet:III.Wysoka jakość systemu oświaty</t>
  </si>
  <si>
    <t>Działanie:3.5. Kompleksowe wspomaganie rozwoju szkół</t>
  </si>
  <si>
    <r>
      <t xml:space="preserve">Nazwa projektu: </t>
    </r>
    <r>
      <rPr>
        <b/>
        <sz val="8"/>
        <rFont val="Times New Roman"/>
        <family val="1"/>
      </rPr>
      <t>"KOMPLEKSOWE WSPOMAGANIE SZKÓŁ I KADRY PEDAGOGICZNEJ W POWIECIE ŻAGAŃSKIM"</t>
    </r>
  </si>
  <si>
    <t>Program Operacyjny Współpracy Transgranicznej Polska-Brandenburgia 2007-2013 w ramach "Europejskiej Współpracy Terytorialnej"</t>
  </si>
  <si>
    <t>Priorytet 3: Wspieranie dalsego rozwoju zasobów ludzkich i transgranicznej kooperacji</t>
  </si>
  <si>
    <t>Działanie 3.1:  Wspieranie projektów z zakresu kształcenia oraz zatrudnienia</t>
  </si>
  <si>
    <t>85295</t>
  </si>
  <si>
    <t>Jednostki, które muszą złożyć sprawozdanie:</t>
  </si>
  <si>
    <t>SOSW Żagań</t>
  </si>
  <si>
    <t>SOSW Szprotawa</t>
  </si>
  <si>
    <r>
      <t>Nazwa projektu:</t>
    </r>
    <r>
      <rPr>
        <b/>
        <sz val="8"/>
        <color indexed="8"/>
        <rFont val="Times New Roman"/>
        <family val="1"/>
      </rPr>
      <t xml:space="preserve"> "POLSKO-NIEMIECKIE WARSZTATY PRZEDSIĘBIORCZOŚCI 2012"</t>
    </r>
  </si>
  <si>
    <t>801; 80146</t>
  </si>
  <si>
    <r>
      <t xml:space="preserve">Nazwa projektu: </t>
    </r>
    <r>
      <rPr>
        <b/>
        <sz val="8"/>
        <rFont val="Times New Roman"/>
        <family val="1"/>
      </rPr>
      <t>"POLSKO-NIEMIECKIE WARSZTATY PRZEDSIĘBIORCZOŚCI 2012"</t>
    </r>
  </si>
  <si>
    <r>
      <t>Nazwa projektu: "</t>
    </r>
    <r>
      <rPr>
        <b/>
        <sz val="8"/>
        <rFont val="Times New Roman"/>
        <family val="1"/>
      </rPr>
      <t>POLSKO-NIEMIECKA SPARTAKIADA SPORTOWA PRACOWNIKÓW SAMORZĄDOWYCH 2014"</t>
    </r>
  </si>
  <si>
    <t>854; 85403</t>
  </si>
  <si>
    <t>SOSW w Szprotawie</t>
  </si>
  <si>
    <t>Program "Uczenie się przez całe życie"</t>
  </si>
  <si>
    <t>Priorytet: "Wymiana doświadczeń na temat legend, tradycji, kultury krajów partnerskich"</t>
  </si>
  <si>
    <t>Działanie: "Partnerski Projekt Szkół Programu Comenius"</t>
  </si>
  <si>
    <r>
      <t>Nazwa projektu:</t>
    </r>
    <r>
      <rPr>
        <b/>
        <sz val="8"/>
        <color indexed="8"/>
        <rFont val="Times New Roman"/>
        <family val="1"/>
      </rPr>
      <t xml:space="preserve"> "A To Tal Drama"</t>
    </r>
  </si>
  <si>
    <t>01042</t>
  </si>
  <si>
    <t>3037</t>
  </si>
  <si>
    <t>3039</t>
  </si>
  <si>
    <t>Dotacja na Warsztaty Terapii Zajęciowej w Wiechlicach</t>
  </si>
  <si>
    <r>
      <t>Nazwa projektu:</t>
    </r>
    <r>
      <rPr>
        <b/>
        <sz val="8"/>
        <color indexed="8"/>
        <rFont val="Times New Roman"/>
        <family val="1"/>
      </rPr>
      <t xml:space="preserve"> COMENIUS- PARTNERSKI PROJEKT SZKÓŁ - Wyjazdy indywidualne uczniów</t>
    </r>
  </si>
  <si>
    <t>Program "Uczenie się przez załe życie"</t>
  </si>
  <si>
    <r>
      <t xml:space="preserve">Nazwa projektu: </t>
    </r>
    <r>
      <rPr>
        <b/>
        <sz val="8"/>
        <color indexed="8"/>
        <rFont val="Times New Roman"/>
        <family val="1"/>
      </rPr>
      <t>Przebudowa warsztatów szkolnych na potrzeby szkolnictwa zawodowego w Powiecie Żagańskim"</t>
    </r>
  </si>
  <si>
    <t>zlecone</t>
  </si>
  <si>
    <t>Stowarzyszenie Oświatowe w Żaganiu - Społeczne Liceum Ogólnokształcące dla dorosłych w Żaganiu</t>
  </si>
  <si>
    <t>2830</t>
  </si>
  <si>
    <r>
      <t xml:space="preserve">Nazwa projektu :  </t>
    </r>
    <r>
      <rPr>
        <b/>
        <sz val="8"/>
        <color indexed="8"/>
        <rFont val="Times New Roman"/>
        <family val="1"/>
      </rPr>
      <t>"SCHEMATOM STOP! Wspólne działania instytucji pomocy społecznej i instytucji rynku pracy - pilotaż"</t>
    </r>
  </si>
  <si>
    <t xml:space="preserve">Działanie:  1.2 Wsparcie systemowe instytucji pomocy i integracji społecznej </t>
  </si>
  <si>
    <t>Priorytet I. Zatrudnienie i integracja społeczna</t>
  </si>
  <si>
    <t>4140</t>
  </si>
  <si>
    <t>4550</t>
  </si>
  <si>
    <t>Wpłaty na PFRON</t>
  </si>
  <si>
    <t>Należności oraz wybrane aktywa finansowe</t>
  </si>
  <si>
    <t>Lp</t>
  </si>
  <si>
    <t>wyszczególnienie</t>
  </si>
  <si>
    <t xml:space="preserve">kwota
należności
ogółem
</t>
  </si>
  <si>
    <t xml:space="preserve"> papiery wartościowe</t>
  </si>
  <si>
    <t>krótkoterminowe</t>
  </si>
  <si>
    <t xml:space="preserve"> długoterminowe</t>
  </si>
  <si>
    <t xml:space="preserve"> pożyczki </t>
  </si>
  <si>
    <t>długoterminowe</t>
  </si>
  <si>
    <t xml:space="preserve"> gotówka i depozyty</t>
  </si>
  <si>
    <t xml:space="preserve"> gotówka</t>
  </si>
  <si>
    <t xml:space="preserve"> depozyty na żądanie</t>
  </si>
  <si>
    <t>depozyty terminowe</t>
  </si>
  <si>
    <t xml:space="preserve"> należności wymagalne </t>
  </si>
  <si>
    <t>z tytułu dostaw towarów i usług</t>
  </si>
  <si>
    <t>pozostałe</t>
  </si>
  <si>
    <t xml:space="preserve"> pozostałe należności </t>
  </si>
  <si>
    <t>z tytułu podatków i składek na
ubezpieczenia społ.</t>
  </si>
  <si>
    <t>z tytułu innych niż wymienione powyżej</t>
  </si>
  <si>
    <t>Zobowiązania według tytułów dłużnych</t>
  </si>
  <si>
    <t xml:space="preserve">kwota
zobowiązań
ogółem
</t>
  </si>
  <si>
    <t>kredyty i pożyczki</t>
  </si>
  <si>
    <t>przyjęte depozyty</t>
  </si>
  <si>
    <t>zobowiązania (cywilnoprawne i publicznoprawne) w tym:</t>
  </si>
  <si>
    <t>a</t>
  </si>
  <si>
    <t>wymaglne zobowiązania</t>
  </si>
  <si>
    <t>b</t>
  </si>
  <si>
    <t xml:space="preserve"> pozostałe</t>
  </si>
  <si>
    <t>wymagalne zobowiązania</t>
  </si>
  <si>
    <t>załącznik nr 15</t>
  </si>
  <si>
    <t>załącznik nr 16</t>
  </si>
  <si>
    <t xml:space="preserve">PLAN NA 30.06.2014 ROK </t>
  </si>
  <si>
    <t>WYKONANIE ZA I PÓŁROCZE 2014 R.</t>
  </si>
  <si>
    <r>
      <t xml:space="preserve">Nazwa projektu: </t>
    </r>
    <r>
      <rPr>
        <b/>
        <sz val="8"/>
        <color indexed="8"/>
        <rFont val="Times New Roman"/>
        <family val="1"/>
      </rPr>
      <t>"POZNAJ SWÓJ POWIAT - transgraniczna promocja partnerów Powiatu Żagańskiego i Powiatu Goerlitz"</t>
    </r>
  </si>
  <si>
    <r>
      <t xml:space="preserve">Nazwa projektu: </t>
    </r>
    <r>
      <rPr>
        <b/>
        <sz val="8"/>
        <color indexed="8"/>
        <rFont val="Times New Roman"/>
        <family val="1"/>
      </rPr>
      <t>"ŚLADAMI KSIĘŻNEJ DOROTY"</t>
    </r>
  </si>
  <si>
    <t>Program: Program Operacyjny "Zrównoważony rozwój sektora rybołówstwa i nadbrzeżnych obszarów rybackich 2007-2013"</t>
  </si>
  <si>
    <t>Priorytet 4.  Zrównoważony rozwój obszarów zależnych od rybactwa"</t>
  </si>
  <si>
    <t>Działanie: 4.1. Rozwój obszarów zależnych od rybactwa z wyłączeniem realizacji operacji polegających na funkcjonowaniu lokalnej grupy rybackiej (LGR) oraz nabywaniu umiejętności i aktywizacji lokalnych społeczności</t>
  </si>
  <si>
    <r>
      <t xml:space="preserve">Nazwa projektu: </t>
    </r>
    <r>
      <rPr>
        <b/>
        <sz val="8"/>
        <color indexed="8"/>
        <rFont val="Times New Roman"/>
        <family val="1"/>
      </rPr>
      <t>"Nowoczesna pracownia gastronomiczna w Zespole Szkół Ponadgimnazjalnych w Iłowej"</t>
    </r>
  </si>
  <si>
    <r>
      <t>Nazwa projektu:</t>
    </r>
    <r>
      <rPr>
        <b/>
        <sz val="8"/>
        <color indexed="8"/>
        <rFont val="Times New Roman"/>
        <family val="1"/>
      </rPr>
      <t xml:space="preserve"> "POLSKO-NIEMIECKA PROMOCJA ZDROWIA"</t>
    </r>
  </si>
  <si>
    <t>851; 85195</t>
  </si>
  <si>
    <r>
      <rPr>
        <sz val="8"/>
        <color indexed="8"/>
        <rFont val="Times New Roman"/>
        <family val="1"/>
      </rPr>
      <t>Nazwa projektu:</t>
    </r>
    <r>
      <rPr>
        <b/>
        <sz val="8"/>
        <color indexed="8"/>
        <rFont val="Times New Roman"/>
        <family val="1"/>
      </rPr>
      <t xml:space="preserve"> "NIE STARZEJE SIĘ TEN KTO NIE MA CZASU"</t>
    </r>
  </si>
  <si>
    <t>plan pierwotny</t>
  </si>
  <si>
    <t>Dotacja podmiotowa z budżetu dla niepublicznej jednostki systemu oświaty</t>
  </si>
  <si>
    <t>Poradnie psychologiczno-pedagogiczne, w tym poradnie specjalistyczne</t>
  </si>
  <si>
    <t>Składki na ubezpieczenie zdrowotne oraz świadczenia dla osób nieobjętych obowiązkiem ubezpieczenia zdrowotnego</t>
  </si>
  <si>
    <t>Opłaty z tytułu zakupu usług telekomunikacyjnych świadczonych w stacjonarnej publicznej sieci telefonicznej</t>
  </si>
  <si>
    <t xml:space="preserve">Szkolenia pracowników niebędących członkami korpusu służby cywilnej  </t>
  </si>
  <si>
    <t>Wykup innych papierów wartościowych</t>
  </si>
  <si>
    <t>Policealne Centrum Nauki i Biznesu "ŻAK" w Żaganiu</t>
  </si>
  <si>
    <t>Szkoła Główna Służb Społecznych - Kolegium Królewskie w Żaganiu</t>
  </si>
  <si>
    <t>Dotacje dla Spółek Wodnych</t>
  </si>
  <si>
    <t>Szkoła Główna Służb Społecznych - Kolegium Królewskie w Żaganiu - szkoła policealna</t>
  </si>
  <si>
    <t>Szkoła Główna Służb Społecznych - Kolegium Królewskie w Żaganiu - liceum ogólnokształcące dla dorosłych</t>
  </si>
  <si>
    <t xml:space="preserve">Dotacje na zabytki przyznane na podstawie art. 81 ust. 1 ustawy z dnia 23 lipca 2003r o ochronie zabytków i opiece nad zabytkami </t>
  </si>
  <si>
    <t>Dotacja dla powiatu nowosolskiego na wkład własny w projekt "Lubuska Sieć Centrów Kształcenia Zawodowego"</t>
  </si>
  <si>
    <t xml:space="preserve">PLAN NA 30.06.2015 ROK </t>
  </si>
  <si>
    <t>WYKONANIE ZA I PÓŁROCZE 2015 R.</t>
  </si>
  <si>
    <t>PLAN NA 2015 R.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</si>
  <si>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</si>
  <si>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Opłaty z tytułu zakupu usług telekomunikacyjnych</t>
  </si>
  <si>
    <t>2440</t>
  </si>
  <si>
    <t>6260</t>
  </si>
  <si>
    <t>2008</t>
  </si>
  <si>
    <t>4580</t>
  </si>
  <si>
    <t>75495</t>
  </si>
  <si>
    <t>2940</t>
  </si>
  <si>
    <t>4248</t>
  </si>
  <si>
    <t>4249</t>
  </si>
  <si>
    <t>80150</t>
  </si>
  <si>
    <t>4447</t>
  </si>
  <si>
    <t>4449</t>
  </si>
  <si>
    <t>4780</t>
  </si>
  <si>
    <t>Opłaty na rzecz budżetów jednostek samorządu terytorialnego</t>
  </si>
  <si>
    <t>Dotacja dla Miasta Żagań na prowadzenie biblioteki</t>
  </si>
  <si>
    <t>Dotacja celowa dla 105 Szpitala Wojskowego na zakup karetki</t>
  </si>
  <si>
    <t>2910</t>
  </si>
  <si>
    <t>0580</t>
  </si>
  <si>
    <t>Grzywny i inne kary pieniężne od osób prawnych i innych jednostek organizacyjnych</t>
  </si>
  <si>
    <t>Zakup kserokopiarki</t>
  </si>
  <si>
    <t>Edukacyjna opieka wychowawcza</t>
  </si>
  <si>
    <t>Specjalne ośrodki szkolno - wychowawcze</t>
  </si>
  <si>
    <t>Administracja publiczna</t>
  </si>
  <si>
    <t>Starostwa powiatowe</t>
  </si>
  <si>
    <t xml:space="preserve">Opracowanie dokumentacji projektowej na termomodernizację budynku Starostwa Powiatowego </t>
  </si>
  <si>
    <t>od początku roku do dnia 31.12.2015 roku</t>
  </si>
  <si>
    <t>za okres od początku roku do dnia 31.12.2015 roku</t>
  </si>
  <si>
    <t>Dotacje celowe i podmiotowe na zadania własne powiatu realizowane przez podmioty należące
i nienależące do sektora finansów publicznych w 2015 r.                                                                                                                                                                                                                                                             za okres od początku roku do dnia 31.12.2015 roku</t>
  </si>
  <si>
    <t>Dochody i wydatki na realizację zadań z zakresu ochrony środowiska za okres od początku roku do dnia 31 grudnia 2015 roku</t>
  </si>
  <si>
    <t>PLAN I WYKONANIE DOCHODÓW WSPÓŁFINANSOWANYCH ZE ŚRODKÓW UNII EUROPEJSKIEJ ZA 2015 ROK</t>
  </si>
  <si>
    <t>PLAN I WYKONANIE WYDATKÓW WSPÓŁFINANSOWANYCH ZE ŚRODKÓW UNII EUROPEJSKIEJ ZA 2015 ROK</t>
  </si>
  <si>
    <t>85117</t>
  </si>
  <si>
    <t>wskaźnik 100,00%</t>
  </si>
  <si>
    <t>Wykonanie za 12/2015</t>
  </si>
  <si>
    <t>Zakup usług obejmujących wykonanie ekspertyz, analiz i opinii</t>
  </si>
  <si>
    <t xml:space="preserve">PLAN NA 31.12.2015 ROK </t>
  </si>
  <si>
    <t>WYKONANIE ZA 2015 R.</t>
  </si>
  <si>
    <t>WYKONANIE ZA 2015 ROK</t>
  </si>
  <si>
    <r>
      <t xml:space="preserve">Nazwa projektu: </t>
    </r>
    <r>
      <rPr>
        <b/>
        <sz val="8"/>
        <rFont val="Times New Roman"/>
        <family val="1"/>
      </rPr>
      <t>"Polsko - Niemieckie warsztaty artystyczne"</t>
    </r>
  </si>
  <si>
    <r>
      <t>Nazwa projektu: "</t>
    </r>
    <r>
      <rPr>
        <b/>
        <sz val="8"/>
        <rFont val="Times New Roman"/>
        <family val="1"/>
      </rPr>
      <t>Polsko - Niemiecka spartakiada sportowa pracowników samorządowych 2013 rok "</t>
    </r>
  </si>
  <si>
    <r>
      <t>Nazwa projektu: "</t>
    </r>
    <r>
      <rPr>
        <b/>
        <sz val="8"/>
        <rFont val="Times New Roman"/>
        <family val="1"/>
      </rPr>
      <t>Polsko - Niemiecka spartakiada sportowa pracowników samorządowych 2014 rok "</t>
    </r>
  </si>
  <si>
    <r>
      <rPr>
        <sz val="8"/>
        <color indexed="8"/>
        <rFont val="Times New Roman"/>
        <family val="1"/>
      </rPr>
      <t>Nazwa projektu:</t>
    </r>
    <r>
      <rPr>
        <b/>
        <sz val="8"/>
        <color indexed="8"/>
        <rFont val="Times New Roman"/>
        <family val="1"/>
      </rPr>
      <t xml:space="preserve"> "Nie starzeje się ten, kto nie ma czasu"</t>
    </r>
  </si>
  <si>
    <r>
      <t>Nazwa projektu:</t>
    </r>
    <r>
      <rPr>
        <b/>
        <sz val="8"/>
        <color indexed="8"/>
        <rFont val="Times New Roman"/>
        <family val="1"/>
      </rPr>
      <t xml:space="preserve"> "Powiatowa ścieżka reintegracji społecznej i zawodowej ON"</t>
    </r>
  </si>
  <si>
    <r>
      <t>Nazwa projektu:</t>
    </r>
    <r>
      <rPr>
        <b/>
        <sz val="8"/>
        <color indexed="8"/>
        <rFont val="Times New Roman"/>
        <family val="1"/>
      </rPr>
      <t xml:space="preserve"> "Polsko - Niemiecka promocja zdrowia"</t>
    </r>
  </si>
  <si>
    <r>
      <t xml:space="preserve">Nazwa projektu: </t>
    </r>
    <r>
      <rPr>
        <b/>
        <sz val="8"/>
        <rFont val="Times New Roman"/>
        <family val="1"/>
      </rPr>
      <t>"Kompleksowe wspomaganie szkół i kadry pedagogicznej w powiecie żagańskim"</t>
    </r>
  </si>
  <si>
    <r>
      <t xml:space="preserve">Nazwa projektu: </t>
    </r>
    <r>
      <rPr>
        <b/>
        <sz val="8"/>
        <color indexed="8"/>
        <rFont val="Times New Roman"/>
        <family val="1"/>
      </rPr>
      <t>"Śladami Księżnej Doroty"</t>
    </r>
  </si>
  <si>
    <t>Transport i łączność</t>
  </si>
  <si>
    <t>Drogi publiczne powiatowe</t>
  </si>
  <si>
    <t>nasadzenia drzew</t>
  </si>
  <si>
    <t>odwodnienie dróg, kolektory deszczowe</t>
  </si>
  <si>
    <t>cięcia pielęgnacyjne drzew, koszenie terenów zielonych, nasadzenia drzew</t>
  </si>
  <si>
    <t>Działalność usługowa</t>
  </si>
  <si>
    <t>Prace geologiczne (nieinwestycyjne)</t>
  </si>
  <si>
    <t>żarówki, sorbent</t>
  </si>
  <si>
    <t>wywóz nieczystości segregowanych</t>
  </si>
  <si>
    <t>opłata za gospodarowanie odpadami segregowanymi</t>
  </si>
  <si>
    <t>paliwo do kosiarki</t>
  </si>
  <si>
    <t>świetlówki, paliwo do kosiarki</t>
  </si>
  <si>
    <t>gospodarowanie odpadami</t>
  </si>
  <si>
    <t>demontaż i utylizacja eternitu</t>
  </si>
  <si>
    <t>2400</t>
  </si>
  <si>
    <t>2701</t>
  </si>
  <si>
    <t>90095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</si>
</sst>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0_ ;\-#,##0.00\ "/>
    <numFmt numFmtId="169" formatCode="#,##0.000"/>
    <numFmt numFmtId="170" formatCode="#,##0.0000"/>
    <numFmt numFmtId="171" formatCode="#,##0.0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9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9"/>
      <name val="Times New Roman CE"/>
      <family val="1"/>
    </font>
    <font>
      <sz val="8"/>
      <name val="Arial CE"/>
      <family val="0"/>
    </font>
    <font>
      <sz val="7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.25"/>
      <color indexed="8"/>
      <name val="Times New Roman"/>
      <family val="1"/>
    </font>
    <font>
      <sz val="8.25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trike/>
      <sz val="7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double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3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939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" fontId="4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/>
    </xf>
    <xf numFmtId="4" fontId="8" fillId="0" borderId="19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6" fillId="0" borderId="0" xfId="52" applyNumberFormat="1" applyFont="1" applyFill="1" applyBorder="1" applyAlignment="1" applyProtection="1">
      <alignment horizontal="right" vertical="center"/>
      <protection locked="0"/>
    </xf>
    <xf numFmtId="0" fontId="57" fillId="0" borderId="20" xfId="55" applyFont="1" applyFill="1" applyBorder="1" applyAlignment="1">
      <alignment horizontal="left" vertical="center" wrapText="1"/>
      <protection/>
    </xf>
    <xf numFmtId="0" fontId="57" fillId="0" borderId="20" xfId="55" applyFont="1" applyFill="1" applyBorder="1" applyAlignment="1">
      <alignment/>
      <protection/>
    </xf>
    <xf numFmtId="4" fontId="39" fillId="0" borderId="20" xfId="55" applyNumberFormat="1" applyFont="1" applyFill="1" applyBorder="1">
      <alignment/>
      <protection/>
    </xf>
    <xf numFmtId="4" fontId="39" fillId="0" borderId="21" xfId="55" applyNumberFormat="1" applyFont="1" applyFill="1" applyBorder="1">
      <alignment/>
      <protection/>
    </xf>
    <xf numFmtId="0" fontId="55" fillId="0" borderId="0" xfId="55" applyFont="1" applyFill="1">
      <alignment/>
      <protection/>
    </xf>
    <xf numFmtId="0" fontId="57" fillId="0" borderId="22" xfId="55" applyFont="1" applyFill="1" applyBorder="1" applyAlignment="1">
      <alignment horizontal="left" vertical="center" wrapText="1"/>
      <protection/>
    </xf>
    <xf numFmtId="0" fontId="57" fillId="0" borderId="22" xfId="55" applyFont="1" applyFill="1" applyBorder="1" applyAlignment="1">
      <alignment/>
      <protection/>
    </xf>
    <xf numFmtId="4" fontId="39" fillId="0" borderId="22" xfId="55" applyNumberFormat="1" applyFont="1" applyFill="1" applyBorder="1">
      <alignment/>
      <protection/>
    </xf>
    <xf numFmtId="4" fontId="39" fillId="0" borderId="23" xfId="55" applyNumberFormat="1" applyFont="1" applyFill="1" applyBorder="1">
      <alignment/>
      <protection/>
    </xf>
    <xf numFmtId="0" fontId="57" fillId="0" borderId="22" xfId="55" applyFont="1" applyFill="1" applyBorder="1" applyAlignment="1">
      <alignment horizontal="center"/>
      <protection/>
    </xf>
    <xf numFmtId="4" fontId="42" fillId="0" borderId="22" xfId="55" applyNumberFormat="1" applyFont="1" applyFill="1" applyBorder="1">
      <alignment/>
      <protection/>
    </xf>
    <xf numFmtId="4" fontId="42" fillId="0" borderId="23" xfId="55" applyNumberFormat="1" applyFont="1" applyFill="1" applyBorder="1">
      <alignment/>
      <protection/>
    </xf>
    <xf numFmtId="0" fontId="41" fillId="0" borderId="22" xfId="55" applyFont="1" applyFill="1" applyBorder="1" applyAlignment="1">
      <alignment/>
      <protection/>
    </xf>
    <xf numFmtId="0" fontId="41" fillId="0" borderId="24" xfId="55" applyFont="1" applyFill="1" applyBorder="1" applyAlignment="1">
      <alignment/>
      <protection/>
    </xf>
    <xf numFmtId="4" fontId="42" fillId="0" borderId="24" xfId="55" applyNumberFormat="1" applyFont="1" applyFill="1" applyBorder="1">
      <alignment/>
      <protection/>
    </xf>
    <xf numFmtId="0" fontId="26" fillId="0" borderId="24" xfId="55" applyFont="1" applyFill="1" applyBorder="1" applyAlignment="1">
      <alignment/>
      <protection/>
    </xf>
    <xf numFmtId="4" fontId="39" fillId="0" borderId="24" xfId="55" applyNumberFormat="1" applyFont="1" applyFill="1" applyBorder="1">
      <alignment/>
      <protection/>
    </xf>
    <xf numFmtId="4" fontId="39" fillId="0" borderId="25" xfId="55" applyNumberFormat="1" applyFont="1" applyFill="1" applyBorder="1">
      <alignment/>
      <protection/>
    </xf>
    <xf numFmtId="0" fontId="26" fillId="0" borderId="20" xfId="55" applyFont="1" applyFill="1" applyBorder="1" applyAlignment="1">
      <alignment/>
      <protection/>
    </xf>
    <xf numFmtId="0" fontId="26" fillId="0" borderId="22" xfId="55" applyFont="1" applyFill="1" applyBorder="1" applyAlignment="1">
      <alignment/>
      <protection/>
    </xf>
    <xf numFmtId="0" fontId="57" fillId="0" borderId="20" xfId="55" applyFont="1" applyFill="1" applyBorder="1" applyAlignment="1">
      <alignment horizontal="left" vertical="center"/>
      <protection/>
    </xf>
    <xf numFmtId="4" fontId="57" fillId="0" borderId="22" xfId="55" applyNumberFormat="1" applyFont="1" applyFill="1" applyBorder="1">
      <alignment/>
      <protection/>
    </xf>
    <xf numFmtId="0" fontId="55" fillId="0" borderId="22" xfId="55" applyFont="1" applyFill="1" applyBorder="1" applyAlignment="1">
      <alignment/>
      <protection/>
    </xf>
    <xf numFmtId="0" fontId="43" fillId="0" borderId="22" xfId="55" applyFont="1" applyFill="1" applyBorder="1" applyAlignment="1">
      <alignment/>
      <protection/>
    </xf>
    <xf numFmtId="0" fontId="57" fillId="0" borderId="24" xfId="55" applyFont="1" applyFill="1" applyBorder="1" applyAlignment="1">
      <alignment/>
      <protection/>
    </xf>
    <xf numFmtId="0" fontId="55" fillId="0" borderId="20" xfId="55" applyFont="1" applyFill="1" applyBorder="1" applyAlignment="1">
      <alignment horizontal="left" vertical="center" wrapText="1"/>
      <protection/>
    </xf>
    <xf numFmtId="0" fontId="55" fillId="0" borderId="22" xfId="55" applyFont="1" applyFill="1" applyBorder="1" applyAlignment="1">
      <alignment horizontal="left" vertical="center" wrapText="1"/>
      <protection/>
    </xf>
    <xf numFmtId="0" fontId="55" fillId="0" borderId="24" xfId="55" applyFont="1" applyFill="1" applyBorder="1" applyAlignment="1">
      <alignment/>
      <protection/>
    </xf>
    <xf numFmtId="0" fontId="55" fillId="0" borderId="20" xfId="55" applyFont="1" applyFill="1" applyBorder="1" applyAlignment="1">
      <alignment/>
      <protection/>
    </xf>
    <xf numFmtId="4" fontId="42" fillId="0" borderId="20" xfId="55" applyNumberFormat="1" applyFont="1" applyFill="1" applyBorder="1">
      <alignment/>
      <protection/>
    </xf>
    <xf numFmtId="4" fontId="42" fillId="0" borderId="21" xfId="55" applyNumberFormat="1" applyFont="1" applyFill="1" applyBorder="1">
      <alignment/>
      <protection/>
    </xf>
    <xf numFmtId="0" fontId="35" fillId="0" borderId="26" xfId="55" applyFont="1" applyFill="1" applyBorder="1" applyAlignment="1">
      <alignment horizontal="center" vertical="center"/>
      <protection/>
    </xf>
    <xf numFmtId="0" fontId="35" fillId="0" borderId="15" xfId="55" applyFont="1" applyFill="1" applyBorder="1" applyAlignment="1">
      <alignment horizontal="center" vertical="center"/>
      <protection/>
    </xf>
    <xf numFmtId="0" fontId="35" fillId="0" borderId="27" xfId="55" applyFont="1" applyFill="1" applyBorder="1" applyAlignment="1">
      <alignment horizontal="center" vertical="center"/>
      <protection/>
    </xf>
    <xf numFmtId="4" fontId="39" fillId="0" borderId="20" xfId="55" applyNumberFormat="1" applyFont="1" applyFill="1" applyBorder="1" applyAlignment="1">
      <alignment/>
      <protection/>
    </xf>
    <xf numFmtId="4" fontId="39" fillId="0" borderId="21" xfId="55" applyNumberFormat="1" applyFont="1" applyFill="1" applyBorder="1" applyAlignment="1">
      <alignment/>
      <protection/>
    </xf>
    <xf numFmtId="4" fontId="39" fillId="0" borderId="22" xfId="55" applyNumberFormat="1" applyFont="1" applyFill="1" applyBorder="1" applyAlignment="1">
      <alignment/>
      <protection/>
    </xf>
    <xf numFmtId="4" fontId="39" fillId="0" borderId="23" xfId="55" applyNumberFormat="1" applyFont="1" applyFill="1" applyBorder="1" applyAlignment="1">
      <alignment/>
      <protection/>
    </xf>
    <xf numFmtId="0" fontId="57" fillId="0" borderId="22" xfId="55" applyFont="1" applyFill="1" applyBorder="1" applyAlignment="1">
      <alignment vertical="center" wrapText="1"/>
      <protection/>
    </xf>
    <xf numFmtId="0" fontId="56" fillId="0" borderId="0" xfId="55" applyFont="1" applyFill="1">
      <alignment/>
      <protection/>
    </xf>
    <xf numFmtId="0" fontId="41" fillId="0" borderId="22" xfId="55" applyFont="1" applyFill="1" applyBorder="1" applyAlignment="1">
      <alignment horizontal="left" vertical="center"/>
      <protection/>
    </xf>
    <xf numFmtId="3" fontId="41" fillId="0" borderId="22" xfId="55" applyNumberFormat="1" applyFont="1" applyFill="1" applyBorder="1" applyAlignment="1">
      <alignment/>
      <protection/>
    </xf>
    <xf numFmtId="0" fontId="41" fillId="0" borderId="24" xfId="55" applyFont="1" applyFill="1" applyBorder="1" applyAlignment="1">
      <alignment horizontal="left" vertical="center"/>
      <protection/>
    </xf>
    <xf numFmtId="3" fontId="41" fillId="0" borderId="24" xfId="55" applyNumberFormat="1" applyFont="1" applyFill="1" applyBorder="1" applyAlignment="1">
      <alignment/>
      <protection/>
    </xf>
    <xf numFmtId="4" fontId="53" fillId="0" borderId="20" xfId="55" applyNumberFormat="1" applyFont="1" applyFill="1" applyBorder="1">
      <alignment/>
      <protection/>
    </xf>
    <xf numFmtId="4" fontId="53" fillId="0" borderId="21" xfId="55" applyNumberFormat="1" applyFont="1" applyFill="1" applyBorder="1">
      <alignment/>
      <protection/>
    </xf>
    <xf numFmtId="4" fontId="53" fillId="0" borderId="22" xfId="55" applyNumberFormat="1" applyFont="1" applyFill="1" applyBorder="1">
      <alignment/>
      <protection/>
    </xf>
    <xf numFmtId="4" fontId="53" fillId="0" borderId="23" xfId="55" applyNumberFormat="1" applyFont="1" applyFill="1" applyBorder="1">
      <alignment/>
      <protection/>
    </xf>
    <xf numFmtId="4" fontId="53" fillId="0" borderId="22" xfId="55" applyNumberFormat="1" applyFont="1" applyFill="1" applyBorder="1" applyAlignment="1">
      <alignment wrapText="1"/>
      <protection/>
    </xf>
    <xf numFmtId="0" fontId="55" fillId="0" borderId="20" xfId="55" applyFont="1" applyFill="1" applyBorder="1" applyAlignment="1">
      <alignment horizontal="left" vertical="center"/>
      <protection/>
    </xf>
    <xf numFmtId="0" fontId="55" fillId="0" borderId="22" xfId="55" applyFont="1" applyFill="1" applyBorder="1" applyAlignment="1">
      <alignment horizontal="left" vertical="center"/>
      <protection/>
    </xf>
    <xf numFmtId="0" fontId="55" fillId="0" borderId="22" xfId="55" applyFont="1" applyFill="1" applyBorder="1" applyAlignment="1">
      <alignment wrapText="1"/>
      <protection/>
    </xf>
    <xf numFmtId="0" fontId="57" fillId="0" borderId="28" xfId="55" applyFont="1" applyFill="1" applyBorder="1" applyAlignment="1">
      <alignment vertical="center" wrapText="1"/>
      <protection/>
    </xf>
    <xf numFmtId="0" fontId="55" fillId="0" borderId="20" xfId="55" applyFont="1" applyFill="1" applyBorder="1" applyAlignment="1">
      <alignment vertical="center"/>
      <protection/>
    </xf>
    <xf numFmtId="4" fontId="53" fillId="0" borderId="20" xfId="55" applyNumberFormat="1" applyFont="1" applyFill="1" applyBorder="1" applyAlignment="1">
      <alignment vertical="center"/>
      <protection/>
    </xf>
    <xf numFmtId="4" fontId="53" fillId="0" borderId="21" xfId="55" applyNumberFormat="1" applyFont="1" applyFill="1" applyBorder="1" applyAlignment="1">
      <alignment vertical="center"/>
      <protection/>
    </xf>
    <xf numFmtId="0" fontId="55" fillId="0" borderId="22" xfId="55" applyFont="1" applyFill="1" applyBorder="1" applyAlignment="1">
      <alignment vertical="center"/>
      <protection/>
    </xf>
    <xf numFmtId="4" fontId="53" fillId="0" borderId="22" xfId="55" applyNumberFormat="1" applyFont="1" applyFill="1" applyBorder="1" applyAlignment="1">
      <alignment vertical="center"/>
      <protection/>
    </xf>
    <xf numFmtId="4" fontId="53" fillId="0" borderId="23" xfId="55" applyNumberFormat="1" applyFont="1" applyFill="1" applyBorder="1" applyAlignment="1">
      <alignment vertical="center"/>
      <protection/>
    </xf>
    <xf numFmtId="4" fontId="27" fillId="0" borderId="23" xfId="55" applyNumberFormat="1" applyFont="1" applyFill="1" applyBorder="1" applyAlignment="1">
      <alignment vertical="center"/>
      <protection/>
    </xf>
    <xf numFmtId="3" fontId="18" fillId="0" borderId="22" xfId="55" applyNumberFormat="1" applyFont="1" applyFill="1" applyBorder="1" applyAlignment="1">
      <alignment horizontal="center" vertical="center"/>
      <protection/>
    </xf>
    <xf numFmtId="3" fontId="18" fillId="0" borderId="22" xfId="55" applyNumberFormat="1" applyFont="1" applyFill="1" applyBorder="1" applyAlignment="1">
      <alignment vertical="center"/>
      <protection/>
    </xf>
    <xf numFmtId="4" fontId="27" fillId="0" borderId="22" xfId="55" applyNumberFormat="1" applyFont="1" applyFill="1" applyBorder="1" applyAlignment="1">
      <alignment vertical="center"/>
      <protection/>
    </xf>
    <xf numFmtId="3" fontId="55" fillId="0" borderId="24" xfId="55" applyNumberFormat="1" applyFont="1" applyFill="1" applyBorder="1" applyAlignment="1">
      <alignment horizontal="center" vertical="center"/>
      <protection/>
    </xf>
    <xf numFmtId="3" fontId="55" fillId="0" borderId="24" xfId="55" applyNumberFormat="1" applyFont="1" applyFill="1" applyBorder="1" applyAlignment="1">
      <alignment vertical="center"/>
      <protection/>
    </xf>
    <xf numFmtId="4" fontId="53" fillId="0" borderId="24" xfId="55" applyNumberFormat="1" applyFont="1" applyFill="1" applyBorder="1" applyAlignment="1">
      <alignment vertical="center"/>
      <protection/>
    </xf>
    <xf numFmtId="4" fontId="53" fillId="0" borderId="25" xfId="55" applyNumberFormat="1" applyFont="1" applyFill="1" applyBorder="1" applyAlignment="1">
      <alignment vertical="center"/>
      <protection/>
    </xf>
    <xf numFmtId="4" fontId="27" fillId="0" borderId="29" xfId="55" applyNumberFormat="1" applyFont="1" applyFill="1" applyBorder="1" applyAlignment="1">
      <alignment vertical="center"/>
      <protection/>
    </xf>
    <xf numFmtId="4" fontId="27" fillId="0" borderId="0" xfId="55" applyNumberFormat="1" applyFont="1" applyFill="1" applyBorder="1" applyAlignment="1">
      <alignment vertical="center"/>
      <protection/>
    </xf>
    <xf numFmtId="4" fontId="53" fillId="0" borderId="24" xfId="55" applyNumberFormat="1" applyFont="1" applyFill="1" applyBorder="1">
      <alignment/>
      <protection/>
    </xf>
    <xf numFmtId="0" fontId="57" fillId="0" borderId="0" xfId="55" applyFont="1" applyFill="1" applyBorder="1" applyAlignment="1">
      <alignment horizontal="left" vertical="center"/>
      <protection/>
    </xf>
    <xf numFmtId="0" fontId="55" fillId="0" borderId="0" xfId="55" applyFont="1" applyFill="1" applyBorder="1" applyAlignment="1">
      <alignment/>
      <protection/>
    </xf>
    <xf numFmtId="0" fontId="43" fillId="0" borderId="0" xfId="55" applyFont="1" applyFill="1" applyBorder="1" applyAlignment="1">
      <alignment horizontal="center" vertical="center"/>
      <protection/>
    </xf>
    <xf numFmtId="3" fontId="56" fillId="0" borderId="0" xfId="55" applyNumberFormat="1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4" fontId="27" fillId="0" borderId="0" xfId="55" applyNumberFormat="1" applyFont="1" applyFill="1" applyAlignment="1">
      <alignment vertical="center"/>
      <protection/>
    </xf>
    <xf numFmtId="0" fontId="56" fillId="0" borderId="0" xfId="55" applyFont="1" applyFill="1" applyAlignment="1">
      <alignment vertical="center"/>
      <protection/>
    </xf>
    <xf numFmtId="0" fontId="57" fillId="0" borderId="0" xfId="55" applyFont="1" applyFill="1" applyBorder="1" applyAlignment="1">
      <alignment horizontal="center" vertical="center"/>
      <protection/>
    </xf>
    <xf numFmtId="3" fontId="55" fillId="0" borderId="0" xfId="55" applyNumberFormat="1" applyFont="1" applyFill="1" applyBorder="1">
      <alignment/>
      <protection/>
    </xf>
    <xf numFmtId="4" fontId="27" fillId="0" borderId="30" xfId="55" applyNumberFormat="1" applyFont="1" applyFill="1" applyBorder="1" applyAlignment="1">
      <alignment vertical="center"/>
      <protection/>
    </xf>
    <xf numFmtId="4" fontId="53" fillId="0" borderId="25" xfId="55" applyNumberFormat="1" applyFont="1" applyFill="1" applyBorder="1">
      <alignment/>
      <protection/>
    </xf>
    <xf numFmtId="4" fontId="27" fillId="0" borderId="24" xfId="55" applyNumberFormat="1" applyFont="1" applyFill="1" applyBorder="1" applyAlignment="1">
      <alignment vertical="center"/>
      <protection/>
    </xf>
    <xf numFmtId="0" fontId="26" fillId="0" borderId="0" xfId="52" applyNumberFormat="1" applyFont="1" applyFill="1" applyBorder="1" applyAlignment="1" applyProtection="1">
      <alignment horizontal="left"/>
      <protection locked="0"/>
    </xf>
    <xf numFmtId="0" fontId="41" fillId="0" borderId="0" xfId="52" applyNumberFormat="1" applyFont="1" applyFill="1" applyBorder="1" applyAlignment="1" applyProtection="1">
      <alignment horizontal="left"/>
      <protection locked="0"/>
    </xf>
    <xf numFmtId="4" fontId="18" fillId="0" borderId="19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56" applyFont="1" applyFill="1" applyAlignment="1">
      <alignment vertical="center"/>
      <protection/>
    </xf>
    <xf numFmtId="4" fontId="19" fillId="0" borderId="0" xfId="56" applyNumberFormat="1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horizontal="center" vertical="center" wrapText="1"/>
      <protection/>
    </xf>
    <xf numFmtId="0" fontId="51" fillId="0" borderId="31" xfId="56" applyFont="1" applyFill="1" applyBorder="1" applyAlignment="1">
      <alignment horizontal="center" vertical="center"/>
      <protection/>
    </xf>
    <xf numFmtId="0" fontId="52" fillId="0" borderId="0" xfId="56" applyFont="1" applyFill="1" applyAlignment="1">
      <alignment vertical="center"/>
      <protection/>
    </xf>
    <xf numFmtId="0" fontId="18" fillId="0" borderId="32" xfId="56" applyFont="1" applyFill="1" applyBorder="1" applyAlignment="1">
      <alignment horizontal="center" vertical="center"/>
      <protection/>
    </xf>
    <xf numFmtId="0" fontId="18" fillId="0" borderId="33" xfId="56" applyFont="1" applyFill="1" applyBorder="1" applyAlignment="1">
      <alignment horizontal="center" vertical="center"/>
      <protection/>
    </xf>
    <xf numFmtId="0" fontId="18" fillId="0" borderId="33" xfId="56" applyFont="1" applyFill="1" applyBorder="1" applyAlignment="1">
      <alignment horizontal="left" vertical="center" wrapText="1"/>
      <protection/>
    </xf>
    <xf numFmtId="0" fontId="18" fillId="0" borderId="34" xfId="56" applyFont="1" applyFill="1" applyBorder="1" applyAlignment="1">
      <alignment horizontal="center" vertical="center"/>
      <protection/>
    </xf>
    <xf numFmtId="0" fontId="18" fillId="0" borderId="29" xfId="56" applyFont="1" applyFill="1" applyBorder="1" applyAlignment="1">
      <alignment horizontal="center" vertical="center"/>
      <protection/>
    </xf>
    <xf numFmtId="0" fontId="18" fillId="0" borderId="29" xfId="56" applyFont="1" applyFill="1" applyBorder="1" applyAlignment="1">
      <alignment horizontal="left" vertical="center" wrapText="1"/>
      <protection/>
    </xf>
    <xf numFmtId="4" fontId="51" fillId="0" borderId="29" xfId="56" applyNumberFormat="1" applyFont="1" applyFill="1" applyBorder="1" applyAlignment="1">
      <alignment vertical="center"/>
      <protection/>
    </xf>
    <xf numFmtId="4" fontId="51" fillId="0" borderId="35" xfId="56" applyNumberFormat="1" applyFont="1" applyFill="1" applyBorder="1" applyAlignment="1">
      <alignment vertical="center"/>
      <protection/>
    </xf>
    <xf numFmtId="0" fontId="17" fillId="0" borderId="36" xfId="56" applyFont="1" applyFill="1" applyBorder="1" applyAlignment="1">
      <alignment horizontal="center" vertical="center"/>
      <protection/>
    </xf>
    <xf numFmtId="0" fontId="17" fillId="0" borderId="13" xfId="56" applyFont="1" applyFill="1" applyBorder="1" applyAlignment="1">
      <alignment horizontal="center" vertical="center"/>
      <protection/>
    </xf>
    <xf numFmtId="0" fontId="17" fillId="0" borderId="13" xfId="56" applyFont="1" applyFill="1" applyBorder="1" applyAlignment="1">
      <alignment horizontal="left" vertical="center" wrapText="1"/>
      <protection/>
    </xf>
    <xf numFmtId="4" fontId="17" fillId="0" borderId="37" xfId="56" applyNumberFormat="1" applyFont="1" applyFill="1" applyBorder="1" applyAlignment="1">
      <alignment vertical="center"/>
      <protection/>
    </xf>
    <xf numFmtId="0" fontId="26" fillId="0" borderId="38" xfId="56" applyFont="1" applyFill="1" applyBorder="1" applyAlignment="1">
      <alignment horizontal="center" vertical="center"/>
      <protection/>
    </xf>
    <xf numFmtId="0" fontId="26" fillId="0" borderId="39" xfId="56" applyFont="1" applyFill="1" applyBorder="1" applyAlignment="1">
      <alignment horizontal="center" vertical="center"/>
      <protection/>
    </xf>
    <xf numFmtId="0" fontId="26" fillId="0" borderId="39" xfId="56" applyFont="1" applyFill="1" applyBorder="1" applyAlignment="1">
      <alignment horizontal="left" vertical="center" wrapText="1"/>
      <protection/>
    </xf>
    <xf numFmtId="4" fontId="26" fillId="0" borderId="39" xfId="56" applyNumberFormat="1" applyFont="1" applyFill="1" applyBorder="1" applyAlignment="1">
      <alignment horizontal="left" vertical="center"/>
      <protection/>
    </xf>
    <xf numFmtId="4" fontId="26" fillId="0" borderId="40" xfId="56" applyNumberFormat="1" applyFont="1" applyFill="1" applyBorder="1" applyAlignment="1">
      <alignment horizontal="left" vertical="center"/>
      <protection/>
    </xf>
    <xf numFmtId="0" fontId="17" fillId="0" borderId="41" xfId="56" applyFont="1" applyFill="1" applyBorder="1" applyAlignment="1">
      <alignment horizontal="center" vertical="center"/>
      <protection/>
    </xf>
    <xf numFmtId="0" fontId="17" fillId="0" borderId="15" xfId="56" applyFont="1" applyFill="1" applyBorder="1" applyAlignment="1">
      <alignment horizontal="center" vertical="center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left" vertical="center" wrapText="1"/>
    </xf>
    <xf numFmtId="4" fontId="17" fillId="0" borderId="42" xfId="56" applyNumberFormat="1" applyFont="1" applyFill="1" applyBorder="1" applyAlignment="1">
      <alignment vertical="center"/>
      <protection/>
    </xf>
    <xf numFmtId="0" fontId="26" fillId="0" borderId="43" xfId="56" applyFont="1" applyFill="1" applyBorder="1" applyAlignment="1">
      <alignment horizontal="center" vertical="center"/>
      <protection/>
    </xf>
    <xf numFmtId="4" fontId="26" fillId="0" borderId="44" xfId="56" applyNumberFormat="1" applyFont="1" applyFill="1" applyBorder="1" applyAlignment="1">
      <alignment vertical="center"/>
      <protection/>
    </xf>
    <xf numFmtId="0" fontId="17" fillId="0" borderId="16" xfId="56" applyFont="1" applyFill="1" applyBorder="1" applyAlignment="1">
      <alignment horizontal="center" vertical="center"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0" fontId="26" fillId="0" borderId="11" xfId="53" applyFont="1" applyFill="1" applyBorder="1" applyAlignment="1">
      <alignment vertical="center" wrapText="1"/>
      <protection/>
    </xf>
    <xf numFmtId="4" fontId="26" fillId="0" borderId="11" xfId="56" applyNumberFormat="1" applyFont="1" applyFill="1" applyBorder="1" applyAlignment="1">
      <alignment vertical="center"/>
      <protection/>
    </xf>
    <xf numFmtId="0" fontId="17" fillId="0" borderId="45" xfId="56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vertical="center"/>
    </xf>
    <xf numFmtId="0" fontId="17" fillId="0" borderId="46" xfId="56" applyFont="1" applyFill="1" applyBorder="1" applyAlignment="1">
      <alignment horizontal="center" vertical="center"/>
      <protection/>
    </xf>
    <xf numFmtId="0" fontId="17" fillId="0" borderId="11" xfId="56" applyFont="1" applyFill="1" applyBorder="1" applyAlignment="1">
      <alignment horizontal="center" vertical="center"/>
      <protection/>
    </xf>
    <xf numFmtId="0" fontId="17" fillId="0" borderId="11" xfId="56" applyFont="1" applyFill="1" applyBorder="1" applyAlignment="1">
      <alignment vertical="center"/>
      <protection/>
    </xf>
    <xf numFmtId="0" fontId="17" fillId="0" borderId="46" xfId="56" applyFont="1" applyFill="1" applyBorder="1" applyAlignment="1">
      <alignment vertical="center"/>
      <protection/>
    </xf>
    <xf numFmtId="0" fontId="18" fillId="0" borderId="35" xfId="56" applyFont="1" applyFill="1" applyBorder="1" applyAlignment="1">
      <alignment horizontal="center" vertical="center"/>
      <protection/>
    </xf>
    <xf numFmtId="0" fontId="18" fillId="0" borderId="47" xfId="56" applyFont="1" applyFill="1" applyBorder="1" applyAlignment="1">
      <alignment horizontal="left" vertical="center" wrapText="1"/>
      <protection/>
    </xf>
    <xf numFmtId="4" fontId="18" fillId="0" borderId="47" xfId="56" applyNumberFormat="1" applyFont="1" applyFill="1" applyBorder="1" applyAlignment="1">
      <alignment vertical="center"/>
      <protection/>
    </xf>
    <xf numFmtId="4" fontId="18" fillId="0" borderId="48" xfId="56" applyNumberFormat="1" applyFont="1" applyFill="1" applyBorder="1" applyAlignment="1">
      <alignment vertical="center"/>
      <protection/>
    </xf>
    <xf numFmtId="0" fontId="17" fillId="0" borderId="16" xfId="56" applyFont="1" applyFill="1" applyBorder="1" applyAlignment="1">
      <alignment horizontal="left" vertical="center" wrapText="1"/>
      <protection/>
    </xf>
    <xf numFmtId="4" fontId="17" fillId="0" borderId="16" xfId="56" applyNumberFormat="1" applyFont="1" applyFill="1" applyBorder="1" applyAlignment="1">
      <alignment vertical="center"/>
      <protection/>
    </xf>
    <xf numFmtId="0" fontId="17" fillId="0" borderId="26" xfId="56" applyFont="1" applyFill="1" applyBorder="1" applyAlignment="1">
      <alignment vertical="center"/>
      <protection/>
    </xf>
    <xf numFmtId="0" fontId="17" fillId="0" borderId="15" xfId="56" applyFont="1" applyFill="1" applyBorder="1" applyAlignment="1">
      <alignment vertical="center"/>
      <protection/>
    </xf>
    <xf numFmtId="4" fontId="17" fillId="0" borderId="27" xfId="56" applyNumberFormat="1" applyFont="1" applyFill="1" applyBorder="1" applyAlignment="1">
      <alignment vertical="center"/>
      <protection/>
    </xf>
    <xf numFmtId="0" fontId="17" fillId="0" borderId="49" xfId="56" applyFont="1" applyFill="1" applyBorder="1" applyAlignment="1">
      <alignment horizontal="center" vertical="center"/>
      <protection/>
    </xf>
    <xf numFmtId="0" fontId="17" fillId="0" borderId="44" xfId="56" applyFont="1" applyFill="1" applyBorder="1" applyAlignment="1">
      <alignment horizontal="center" vertical="center"/>
      <protection/>
    </xf>
    <xf numFmtId="0" fontId="26" fillId="0" borderId="11" xfId="54" applyFont="1" applyFill="1" applyBorder="1" applyAlignment="1">
      <alignment horizontal="center" vertical="center"/>
      <protection/>
    </xf>
    <xf numFmtId="0" fontId="17" fillId="0" borderId="11" xfId="56" applyFont="1" applyFill="1" applyBorder="1" applyAlignment="1">
      <alignment horizontal="left" vertical="center" wrapText="1"/>
      <protection/>
    </xf>
    <xf numFmtId="4" fontId="17" fillId="0" borderId="11" xfId="56" applyNumberFormat="1" applyFont="1" applyFill="1" applyBorder="1" applyAlignment="1">
      <alignment vertical="center"/>
      <protection/>
    </xf>
    <xf numFmtId="4" fontId="17" fillId="0" borderId="50" xfId="56" applyNumberFormat="1" applyFont="1" applyFill="1" applyBorder="1" applyAlignment="1">
      <alignment vertical="center"/>
      <protection/>
    </xf>
    <xf numFmtId="0" fontId="17" fillId="0" borderId="51" xfId="56" applyFont="1" applyFill="1" applyBorder="1" applyAlignment="1">
      <alignment vertical="center" wrapText="1"/>
      <protection/>
    </xf>
    <xf numFmtId="4" fontId="17" fillId="0" borderId="44" xfId="56" applyNumberFormat="1" applyFont="1" applyFill="1" applyBorder="1" applyAlignment="1">
      <alignment vertical="center"/>
      <protection/>
    </xf>
    <xf numFmtId="0" fontId="17" fillId="0" borderId="40" xfId="56" applyFont="1" applyFill="1" applyBorder="1" applyAlignment="1">
      <alignment horizontal="center" vertical="center"/>
      <protection/>
    </xf>
    <xf numFmtId="0" fontId="17" fillId="0" borderId="39" xfId="56" applyFont="1" applyFill="1" applyBorder="1" applyAlignment="1">
      <alignment horizontal="center" vertical="center"/>
      <protection/>
    </xf>
    <xf numFmtId="0" fontId="17" fillId="0" borderId="39" xfId="56" applyFont="1" applyFill="1" applyBorder="1" applyAlignment="1">
      <alignment horizontal="left" vertical="center" wrapText="1"/>
      <protection/>
    </xf>
    <xf numFmtId="4" fontId="17" fillId="0" borderId="39" xfId="56" applyNumberFormat="1" applyFont="1" applyFill="1" applyBorder="1" applyAlignment="1">
      <alignment vertical="center"/>
      <protection/>
    </xf>
    <xf numFmtId="0" fontId="26" fillId="0" borderId="13" xfId="54" applyFont="1" applyFill="1" applyBorder="1" applyAlignment="1">
      <alignment horizontal="center" vertical="center"/>
      <protection/>
    </xf>
    <xf numFmtId="4" fontId="17" fillId="0" borderId="13" xfId="56" applyNumberFormat="1" applyFont="1" applyFill="1" applyBorder="1" applyAlignment="1">
      <alignment vertical="center"/>
      <protection/>
    </xf>
    <xf numFmtId="4" fontId="17" fillId="0" borderId="52" xfId="56" applyNumberFormat="1" applyFont="1" applyFill="1" applyBorder="1" applyAlignment="1">
      <alignment vertical="center"/>
      <protection/>
    </xf>
    <xf numFmtId="0" fontId="17" fillId="0" borderId="53" xfId="56" applyFont="1" applyFill="1" applyBorder="1" applyAlignment="1">
      <alignment horizontal="center" vertical="center" wrapText="1"/>
      <protection/>
    </xf>
    <xf numFmtId="4" fontId="52" fillId="0" borderId="27" xfId="56" applyNumberFormat="1" applyFont="1" applyFill="1" applyBorder="1" applyAlignment="1">
      <alignment vertical="center"/>
      <protection/>
    </xf>
    <xf numFmtId="0" fontId="17" fillId="0" borderId="16" xfId="56" applyFont="1" applyFill="1" applyBorder="1" applyAlignment="1">
      <alignment vertical="center"/>
      <protection/>
    </xf>
    <xf numFmtId="4" fontId="52" fillId="0" borderId="33" xfId="56" applyNumberFormat="1" applyFont="1" applyFill="1" applyBorder="1" applyAlignment="1">
      <alignment vertical="center"/>
      <protection/>
    </xf>
    <xf numFmtId="4" fontId="52" fillId="0" borderId="44" xfId="56" applyNumberFormat="1" applyFont="1" applyFill="1" applyBorder="1" applyAlignment="1">
      <alignment vertical="center"/>
      <protection/>
    </xf>
    <xf numFmtId="4" fontId="51" fillId="0" borderId="47" xfId="56" applyNumberFormat="1" applyFont="1" applyFill="1" applyBorder="1" applyAlignment="1">
      <alignment vertical="center"/>
      <protection/>
    </xf>
    <xf numFmtId="0" fontId="57" fillId="0" borderId="54" xfId="55" applyFont="1" applyFill="1" applyBorder="1" applyAlignment="1">
      <alignment vertical="center" wrapText="1"/>
      <protection/>
    </xf>
    <xf numFmtId="4" fontId="27" fillId="0" borderId="24" xfId="55" applyNumberFormat="1" applyFont="1" applyFill="1" applyBorder="1">
      <alignment/>
      <protection/>
    </xf>
    <xf numFmtId="0" fontId="57" fillId="0" borderId="22" xfId="55" applyFont="1" applyFill="1" applyBorder="1" applyAlignment="1">
      <alignment wrapText="1"/>
      <protection/>
    </xf>
    <xf numFmtId="0" fontId="57" fillId="0" borderId="28" xfId="55" applyFont="1" applyFill="1" applyBorder="1" applyAlignment="1">
      <alignment/>
      <protection/>
    </xf>
    <xf numFmtId="4" fontId="27" fillId="0" borderId="22" xfId="55" applyNumberFormat="1" applyFont="1" applyFill="1" applyBorder="1">
      <alignment/>
      <protection/>
    </xf>
    <xf numFmtId="4" fontId="57" fillId="0" borderId="22" xfId="55" applyNumberFormat="1" applyFont="1" applyFill="1" applyBorder="1" applyAlignment="1">
      <alignment/>
      <protection/>
    </xf>
    <xf numFmtId="0" fontId="17" fillId="0" borderId="55" xfId="56" applyFont="1" applyFill="1" applyBorder="1" applyAlignment="1">
      <alignment horizontal="center" vertical="center"/>
      <protection/>
    </xf>
    <xf numFmtId="0" fontId="41" fillId="0" borderId="16" xfId="55" applyFont="1" applyFill="1" applyBorder="1" applyAlignment="1">
      <alignment vertical="center" wrapText="1"/>
      <protection/>
    </xf>
    <xf numFmtId="4" fontId="42" fillId="0" borderId="16" xfId="55" applyNumberFormat="1" applyFont="1" applyFill="1" applyBorder="1" applyAlignment="1">
      <alignment vertical="center" wrapText="1"/>
      <protection/>
    </xf>
    <xf numFmtId="4" fontId="39" fillId="0" borderId="16" xfId="55" applyNumberFormat="1" applyFont="1" applyFill="1" applyBorder="1" applyAlignment="1">
      <alignment vertical="center" wrapText="1"/>
      <protection/>
    </xf>
    <xf numFmtId="4" fontId="39" fillId="0" borderId="56" xfId="55" applyNumberFormat="1" applyFont="1" applyFill="1" applyBorder="1" applyAlignment="1">
      <alignment vertical="center" wrapText="1"/>
      <protection/>
    </xf>
    <xf numFmtId="4" fontId="42" fillId="0" borderId="22" xfId="55" applyNumberFormat="1" applyFont="1" applyFill="1" applyBorder="1" applyAlignment="1">
      <alignment vertical="center" wrapText="1"/>
      <protection/>
    </xf>
    <xf numFmtId="4" fontId="39" fillId="0" borderId="22" xfId="55" applyNumberFormat="1" applyFont="1" applyFill="1" applyBorder="1" applyAlignment="1">
      <alignment vertical="center" wrapText="1"/>
      <protection/>
    </xf>
    <xf numFmtId="4" fontId="39" fillId="0" borderId="23" xfId="55" applyNumberFormat="1" applyFont="1" applyFill="1" applyBorder="1" applyAlignment="1">
      <alignment vertical="center" wrapText="1"/>
      <protection/>
    </xf>
    <xf numFmtId="0" fontId="41" fillId="0" borderId="22" xfId="55" applyFont="1" applyFill="1" applyBorder="1" applyAlignment="1">
      <alignment horizontal="left" vertical="center" wrapText="1"/>
      <protection/>
    </xf>
    <xf numFmtId="0" fontId="41" fillId="0" borderId="22" xfId="55" applyFont="1" applyFill="1" applyBorder="1" applyAlignment="1">
      <alignment vertical="center" wrapText="1"/>
      <protection/>
    </xf>
    <xf numFmtId="3" fontId="27" fillId="0" borderId="0" xfId="55" applyNumberFormat="1" applyFont="1" applyFill="1" applyBorder="1" applyAlignment="1">
      <alignment horizontal="center" vertical="center"/>
      <protection/>
    </xf>
    <xf numFmtId="0" fontId="57" fillId="0" borderId="16" xfId="55" applyFont="1" applyFill="1" applyBorder="1" applyAlignment="1">
      <alignment horizontal="left" vertical="center" wrapText="1"/>
      <protection/>
    </xf>
    <xf numFmtId="0" fontId="57" fillId="0" borderId="16" xfId="55" applyFont="1" applyFill="1" applyBorder="1" applyAlignment="1">
      <alignment vertical="center" wrapText="1"/>
      <protection/>
    </xf>
    <xf numFmtId="0" fontId="57" fillId="0" borderId="22" xfId="55" applyFont="1" applyFill="1" applyBorder="1" applyAlignment="1">
      <alignment horizontal="center" vertical="center" wrapText="1"/>
      <protection/>
    </xf>
    <xf numFmtId="0" fontId="55" fillId="0" borderId="16" xfId="55" applyFont="1" applyFill="1" applyBorder="1" applyAlignment="1">
      <alignment/>
      <protection/>
    </xf>
    <xf numFmtId="4" fontId="42" fillId="0" borderId="54" xfId="55" applyNumberFormat="1" applyFont="1" applyFill="1" applyBorder="1">
      <alignment/>
      <protection/>
    </xf>
    <xf numFmtId="4" fontId="39" fillId="0" borderId="16" xfId="55" applyNumberFormat="1" applyFont="1" applyFill="1" applyBorder="1">
      <alignment/>
      <protection/>
    </xf>
    <xf numFmtId="4" fontId="39" fillId="0" borderId="56" xfId="55" applyNumberFormat="1" applyFont="1" applyFill="1" applyBorder="1">
      <alignment/>
      <protection/>
    </xf>
    <xf numFmtId="4" fontId="42" fillId="0" borderId="57" xfId="55" applyNumberFormat="1" applyFont="1" applyFill="1" applyBorder="1">
      <alignment/>
      <protection/>
    </xf>
    <xf numFmtId="4" fontId="42" fillId="0" borderId="58" xfId="55" applyNumberFormat="1" applyFont="1" applyFill="1" applyBorder="1">
      <alignment/>
      <protection/>
    </xf>
    <xf numFmtId="0" fontId="43" fillId="0" borderId="22" xfId="55" applyFont="1" applyFill="1" applyBorder="1" applyAlignment="1">
      <alignment horizontal="left" vertical="center" wrapText="1"/>
      <protection/>
    </xf>
    <xf numFmtId="0" fontId="55" fillId="0" borderId="22" xfId="55" applyFont="1" applyFill="1" applyBorder="1" applyAlignment="1">
      <alignment vertical="center" wrapText="1"/>
      <protection/>
    </xf>
    <xf numFmtId="0" fontId="57" fillId="0" borderId="20" xfId="55" applyFont="1" applyFill="1" applyBorder="1" applyAlignment="1">
      <alignment vertical="center"/>
      <protection/>
    </xf>
    <xf numFmtId="0" fontId="57" fillId="0" borderId="22" xfId="55" applyFont="1" applyFill="1" applyBorder="1" applyAlignment="1">
      <alignment vertical="center"/>
      <protection/>
    </xf>
    <xf numFmtId="0" fontId="57" fillId="0" borderId="22" xfId="55" applyFont="1" applyFill="1" applyBorder="1" applyAlignment="1">
      <alignment horizontal="center" vertical="center"/>
      <protection/>
    </xf>
    <xf numFmtId="3" fontId="41" fillId="0" borderId="22" xfId="55" applyNumberFormat="1" applyFont="1" applyFill="1" applyBorder="1" applyAlignment="1">
      <alignment vertical="center"/>
      <protection/>
    </xf>
    <xf numFmtId="3" fontId="41" fillId="0" borderId="24" xfId="55" applyNumberFormat="1" applyFont="1" applyFill="1" applyBorder="1" applyAlignment="1">
      <alignment vertical="center"/>
      <protection/>
    </xf>
    <xf numFmtId="0" fontId="41" fillId="0" borderId="22" xfId="55" applyFont="1" applyFill="1" applyBorder="1" applyAlignment="1">
      <alignment vertical="center"/>
      <protection/>
    </xf>
    <xf numFmtId="0" fontId="41" fillId="0" borderId="24" xfId="55" applyFont="1" applyFill="1" applyBorder="1" applyAlignment="1">
      <alignment vertical="center"/>
      <protection/>
    </xf>
    <xf numFmtId="0" fontId="55" fillId="0" borderId="22" xfId="55" applyFont="1" applyFill="1" applyBorder="1" applyAlignment="1">
      <alignment horizontal="center" vertical="center" wrapText="1"/>
      <protection/>
    </xf>
    <xf numFmtId="0" fontId="55" fillId="0" borderId="24" xfId="55" applyFont="1" applyFill="1" applyBorder="1" applyAlignment="1">
      <alignment vertical="center"/>
      <protection/>
    </xf>
    <xf numFmtId="0" fontId="26" fillId="0" borderId="24" xfId="55" applyFont="1" applyFill="1" applyBorder="1" applyAlignment="1">
      <alignment vertical="center"/>
      <protection/>
    </xf>
    <xf numFmtId="0" fontId="26" fillId="0" borderId="20" xfId="55" applyFont="1" applyFill="1" applyBorder="1" applyAlignment="1">
      <alignment vertical="center"/>
      <protection/>
    </xf>
    <xf numFmtId="0" fontId="26" fillId="0" borderId="22" xfId="55" applyFont="1" applyFill="1" applyBorder="1" applyAlignment="1">
      <alignment vertical="center"/>
      <protection/>
    </xf>
    <xf numFmtId="0" fontId="57" fillId="0" borderId="24" xfId="55" applyFont="1" applyFill="1" applyBorder="1" applyAlignment="1">
      <alignment vertical="center"/>
      <protection/>
    </xf>
    <xf numFmtId="4" fontId="57" fillId="0" borderId="22" xfId="55" applyNumberFormat="1" applyFont="1" applyFill="1" applyBorder="1" applyAlignment="1">
      <alignment vertical="center"/>
      <protection/>
    </xf>
    <xf numFmtId="0" fontId="43" fillId="0" borderId="22" xfId="55" applyFont="1" applyFill="1" applyBorder="1" applyAlignment="1">
      <alignment vertical="center"/>
      <protection/>
    </xf>
    <xf numFmtId="0" fontId="55" fillId="0" borderId="16" xfId="55" applyFont="1" applyFill="1" applyBorder="1" applyAlignment="1">
      <alignment vertical="center"/>
      <protection/>
    </xf>
    <xf numFmtId="0" fontId="55" fillId="0" borderId="22" xfId="55" applyFont="1" applyFill="1" applyBorder="1" applyAlignment="1">
      <alignment horizontal="center" vertical="center"/>
      <protection/>
    </xf>
    <xf numFmtId="0" fontId="55" fillId="0" borderId="59" xfId="55" applyFont="1" applyFill="1" applyBorder="1" applyAlignment="1">
      <alignment vertical="center"/>
      <protection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6" fillId="0" borderId="0" xfId="52" applyNumberFormat="1" applyFont="1" applyFill="1" applyBorder="1" applyAlignment="1" applyProtection="1">
      <alignment horizontal="right"/>
      <protection locked="0"/>
    </xf>
    <xf numFmtId="49" fontId="40" fillId="0" borderId="60" xfId="52" applyNumberFormat="1" applyFont="1" applyFill="1" applyBorder="1" applyAlignment="1" applyProtection="1">
      <alignment horizontal="left" vertical="center" wrapText="1"/>
      <protection locked="0"/>
    </xf>
    <xf numFmtId="49" fontId="46" fillId="0" borderId="61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62" xfId="52" applyNumberFormat="1" applyFont="1" applyFill="1" applyBorder="1" applyAlignment="1" applyProtection="1">
      <alignment horizontal="left" vertical="center" wrapText="1"/>
      <protection locked="0"/>
    </xf>
    <xf numFmtId="4" fontId="46" fillId="0" borderId="61" xfId="52" applyNumberFormat="1" applyFont="1" applyFill="1" applyBorder="1" applyAlignment="1" applyProtection="1">
      <alignment horizontal="right" vertical="center" wrapText="1"/>
      <protection locked="0"/>
    </xf>
    <xf numFmtId="49" fontId="60" fillId="0" borderId="61" xfId="52" applyNumberFormat="1" applyFont="1" applyFill="1" applyBorder="1" applyAlignment="1" applyProtection="1">
      <alignment horizontal="center" vertical="center" wrapText="1"/>
      <protection locked="0"/>
    </xf>
    <xf numFmtId="49" fontId="60" fillId="0" borderId="63" xfId="52" applyNumberFormat="1" applyFont="1" applyFill="1" applyBorder="1" applyAlignment="1" applyProtection="1">
      <alignment horizontal="left" vertical="center" wrapText="1"/>
      <protection locked="0"/>
    </xf>
    <xf numFmtId="4" fontId="60" fillId="0" borderId="61" xfId="52" applyNumberFormat="1" applyFont="1" applyFill="1" applyBorder="1" applyAlignment="1" applyProtection="1">
      <alignment horizontal="right" vertical="center" wrapText="1"/>
      <protection locked="0"/>
    </xf>
    <xf numFmtId="49" fontId="46" fillId="0" borderId="63" xfId="52" applyNumberFormat="1" applyFont="1" applyFill="1" applyBorder="1" applyAlignment="1" applyProtection="1">
      <alignment horizontal="left" vertical="center" wrapText="1"/>
      <protection locked="0"/>
    </xf>
    <xf numFmtId="49" fontId="60" fillId="0" borderId="64" xfId="52" applyNumberFormat="1" applyFont="1" applyFill="1" applyBorder="1" applyAlignment="1" applyProtection="1">
      <alignment horizontal="center" vertical="center" wrapText="1"/>
      <protection locked="0"/>
    </xf>
    <xf numFmtId="49" fontId="60" fillId="0" borderId="65" xfId="52" applyNumberFormat="1" applyFont="1" applyFill="1" applyBorder="1" applyAlignment="1" applyProtection="1">
      <alignment horizontal="left" vertical="center" wrapText="1"/>
      <protection locked="0"/>
    </xf>
    <xf numFmtId="4" fontId="60" fillId="0" borderId="64" xfId="52" applyNumberFormat="1" applyFont="1" applyFill="1" applyBorder="1" applyAlignment="1" applyProtection="1">
      <alignment horizontal="right" vertical="center" wrapText="1"/>
      <protection locked="0"/>
    </xf>
    <xf numFmtId="4" fontId="40" fillId="0" borderId="19" xfId="52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52" applyNumberFormat="1" applyFont="1" applyFill="1" applyBorder="1" applyAlignment="1" applyProtection="1">
      <alignment horizontal="center"/>
      <protection locked="0"/>
    </xf>
    <xf numFmtId="49" fontId="46" fillId="0" borderId="66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67" xfId="52" applyNumberFormat="1" applyFont="1" applyFill="1" applyBorder="1" applyAlignment="1" applyProtection="1">
      <alignment horizontal="left" vertical="center" wrapText="1"/>
      <protection locked="0"/>
    </xf>
    <xf numFmtId="4" fontId="46" fillId="0" borderId="66" xfId="52" applyNumberFormat="1" applyFont="1" applyFill="1" applyBorder="1" applyAlignment="1" applyProtection="1">
      <alignment horizontal="right" vertical="center" wrapText="1"/>
      <protection locked="0"/>
    </xf>
    <xf numFmtId="49" fontId="61" fillId="0" borderId="63" xfId="52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52" applyNumberFormat="1" applyFont="1" applyFill="1" applyBorder="1" applyAlignment="1" applyProtection="1">
      <alignment horizontal="left" vertical="center"/>
      <protection locked="0"/>
    </xf>
    <xf numFmtId="4" fontId="42" fillId="0" borderId="20" xfId="55" applyNumberFormat="1" applyFont="1" applyFill="1" applyBorder="1" applyAlignment="1">
      <alignment vertical="center" wrapText="1"/>
      <protection/>
    </xf>
    <xf numFmtId="4" fontId="42" fillId="0" borderId="23" xfId="55" applyNumberFormat="1" applyFont="1" applyFill="1" applyBorder="1" applyAlignment="1">
      <alignment vertical="center" wrapText="1"/>
      <protection/>
    </xf>
    <xf numFmtId="0" fontId="19" fillId="0" borderId="68" xfId="56" applyFont="1" applyFill="1" applyBorder="1" applyAlignment="1">
      <alignment horizontal="center" vertical="center" wrapText="1"/>
      <protection/>
    </xf>
    <xf numFmtId="4" fontId="17" fillId="0" borderId="69" xfId="56" applyNumberFormat="1" applyFont="1" applyFill="1" applyBorder="1" applyAlignment="1">
      <alignment vertical="center"/>
      <protection/>
    </xf>
    <xf numFmtId="4" fontId="17" fillId="0" borderId="70" xfId="56" applyNumberFormat="1" applyFont="1" applyFill="1" applyBorder="1" applyAlignment="1">
      <alignment vertical="center"/>
      <protection/>
    </xf>
    <xf numFmtId="49" fontId="26" fillId="0" borderId="15" xfId="53" applyNumberFormat="1" applyFont="1" applyFill="1" applyBorder="1" applyAlignment="1">
      <alignment horizontal="center" vertical="center"/>
      <protection/>
    </xf>
    <xf numFmtId="0" fontId="26" fillId="0" borderId="15" xfId="53" applyFont="1" applyFill="1" applyBorder="1" applyAlignment="1">
      <alignment horizontal="left" vertical="center" wrapText="1"/>
      <protection/>
    </xf>
    <xf numFmtId="4" fontId="26" fillId="0" borderId="15" xfId="56" applyNumberFormat="1" applyFont="1" applyFill="1" applyBorder="1" applyAlignment="1">
      <alignment vertical="center"/>
      <protection/>
    </xf>
    <xf numFmtId="49" fontId="26" fillId="0" borderId="71" xfId="53" applyNumberFormat="1" applyFont="1" applyFill="1" applyBorder="1" applyAlignment="1">
      <alignment horizontal="center" vertical="center"/>
      <protection/>
    </xf>
    <xf numFmtId="0" fontId="26" fillId="0" borderId="71" xfId="53" applyFont="1" applyFill="1" applyBorder="1" applyAlignment="1">
      <alignment horizontal="left" vertical="center" wrapText="1"/>
      <protection/>
    </xf>
    <xf numFmtId="4" fontId="26" fillId="0" borderId="71" xfId="56" applyNumberFormat="1" applyFont="1" applyFill="1" applyBorder="1" applyAlignment="1">
      <alignment vertical="center"/>
      <protection/>
    </xf>
    <xf numFmtId="0" fontId="26" fillId="0" borderId="15" xfId="54" applyFont="1" applyFill="1" applyBorder="1" applyAlignment="1">
      <alignment horizontal="center" vertical="center"/>
      <protection/>
    </xf>
    <xf numFmtId="0" fontId="17" fillId="0" borderId="15" xfId="56" applyFont="1" applyFill="1" applyBorder="1" applyAlignment="1">
      <alignment horizontal="left" vertical="center" wrapText="1"/>
      <protection/>
    </xf>
    <xf numFmtId="4" fontId="17" fillId="0" borderId="15" xfId="56" applyNumberFormat="1" applyFont="1" applyFill="1" applyBorder="1" applyAlignment="1">
      <alignment vertical="center"/>
      <protection/>
    </xf>
    <xf numFmtId="4" fontId="17" fillId="0" borderId="72" xfId="56" applyNumberFormat="1" applyFont="1" applyFill="1" applyBorder="1" applyAlignment="1">
      <alignment vertical="center"/>
      <protection/>
    </xf>
    <xf numFmtId="0" fontId="17" fillId="0" borderId="73" xfId="56" applyFont="1" applyFill="1" applyBorder="1" applyAlignment="1">
      <alignment horizontal="left" vertical="center" wrapText="1"/>
      <protection/>
    </xf>
    <xf numFmtId="4" fontId="27" fillId="0" borderId="74" xfId="0" applyNumberFormat="1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4" fontId="28" fillId="0" borderId="74" xfId="0" applyNumberFormat="1" applyFont="1" applyFill="1" applyBorder="1" applyAlignment="1">
      <alignment horizontal="center" vertical="center" wrapText="1" shrinkToFit="1"/>
    </xf>
    <xf numFmtId="4" fontId="28" fillId="0" borderId="74" xfId="0" applyNumberFormat="1" applyFont="1" applyFill="1" applyBorder="1" applyAlignment="1">
      <alignment horizontal="center" vertical="center" wrapText="1"/>
    </xf>
    <xf numFmtId="4" fontId="18" fillId="0" borderId="74" xfId="0" applyNumberFormat="1" applyFont="1" applyFill="1" applyBorder="1" applyAlignment="1">
      <alignment horizontal="center" vertical="center" wrapText="1"/>
    </xf>
    <xf numFmtId="4" fontId="18" fillId="0" borderId="76" xfId="0" applyNumberFormat="1" applyFont="1" applyFill="1" applyBorder="1" applyAlignment="1">
      <alignment vertical="center" wrapText="1"/>
    </xf>
    <xf numFmtId="4" fontId="18" fillId="0" borderId="19" xfId="0" applyNumberFormat="1" applyFont="1" applyFill="1" applyBorder="1" applyAlignment="1">
      <alignment vertical="center" wrapText="1"/>
    </xf>
    <xf numFmtId="4" fontId="18" fillId="0" borderId="74" xfId="0" applyNumberFormat="1" applyFont="1" applyFill="1" applyBorder="1" applyAlignment="1">
      <alignment vertical="center" wrapText="1"/>
    </xf>
    <xf numFmtId="0" fontId="17" fillId="0" borderId="76" xfId="0" applyFont="1" applyFill="1" applyBorder="1" applyAlignment="1">
      <alignment vertical="center" wrapText="1"/>
    </xf>
    <xf numFmtId="0" fontId="17" fillId="0" borderId="75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7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4" fontId="17" fillId="0" borderId="78" xfId="0" applyNumberFormat="1" applyFont="1" applyFill="1" applyBorder="1" applyAlignment="1">
      <alignment horizontal="right" vertical="center" wrapText="1"/>
    </xf>
    <xf numFmtId="4" fontId="26" fillId="0" borderId="78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right" vertical="center" wrapText="1"/>
    </xf>
    <xf numFmtId="4" fontId="30" fillId="0" borderId="19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vertical="center" wrapText="1"/>
    </xf>
    <xf numFmtId="4" fontId="17" fillId="0" borderId="79" xfId="0" applyNumberFormat="1" applyFont="1" applyFill="1" applyBorder="1" applyAlignment="1">
      <alignment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vertical="center" wrapText="1"/>
    </xf>
    <xf numFmtId="4" fontId="17" fillId="0" borderId="81" xfId="0" applyNumberFormat="1" applyFont="1" applyFill="1" applyBorder="1" applyAlignment="1">
      <alignment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vertical="center" wrapText="1"/>
    </xf>
    <xf numFmtId="4" fontId="17" fillId="0" borderId="83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7" fillId="0" borderId="81" xfId="0" applyFont="1" applyFill="1" applyBorder="1" applyAlignment="1">
      <alignment vertical="center" wrapText="1"/>
    </xf>
    <xf numFmtId="4" fontId="17" fillId="0" borderId="85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4" fontId="17" fillId="0" borderId="84" xfId="0" applyNumberFormat="1" applyFont="1" applyFill="1" applyBorder="1" applyAlignment="1">
      <alignment vertical="center" wrapText="1"/>
    </xf>
    <xf numFmtId="4" fontId="17" fillId="0" borderId="80" xfId="0" applyNumberFormat="1" applyFont="1" applyFill="1" applyBorder="1" applyAlignment="1">
      <alignment vertical="center" wrapText="1"/>
    </xf>
    <xf numFmtId="0" fontId="18" fillId="0" borderId="75" xfId="0" applyFont="1" applyFill="1" applyBorder="1" applyAlignment="1">
      <alignment horizontal="center" vertical="center" wrapText="1"/>
    </xf>
    <xf numFmtId="4" fontId="17" fillId="0" borderId="75" xfId="0" applyNumberFormat="1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4" fontId="17" fillId="0" borderId="76" xfId="0" applyNumberFormat="1" applyFont="1" applyFill="1" applyBorder="1" applyAlignment="1">
      <alignment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vertical="center" wrapText="1"/>
    </xf>
    <xf numFmtId="4" fontId="17" fillId="0" borderId="78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4" fontId="30" fillId="0" borderId="74" xfId="0" applyNumberFormat="1" applyFont="1" applyFill="1" applyBorder="1" applyAlignment="1">
      <alignment vertical="center" wrapText="1"/>
    </xf>
    <xf numFmtId="4" fontId="30" fillId="0" borderId="88" xfId="0" applyNumberFormat="1" applyFont="1" applyFill="1" applyBorder="1" applyAlignment="1">
      <alignment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vertical="center" wrapText="1"/>
    </xf>
    <xf numFmtId="0" fontId="17" fillId="0" borderId="82" xfId="0" applyFont="1" applyFill="1" applyBorder="1" applyAlignment="1">
      <alignment horizontal="center" vertical="center" wrapText="1"/>
    </xf>
    <xf numFmtId="4" fontId="17" fillId="0" borderId="82" xfId="0" applyNumberFormat="1" applyFont="1" applyFill="1" applyBorder="1" applyAlignment="1">
      <alignment vertical="center" wrapText="1"/>
    </xf>
    <xf numFmtId="0" fontId="17" fillId="0" borderId="89" xfId="0" applyFont="1" applyFill="1" applyBorder="1" applyAlignment="1">
      <alignment vertical="center" wrapText="1"/>
    </xf>
    <xf numFmtId="0" fontId="17" fillId="0" borderId="82" xfId="0" applyFont="1" applyFill="1" applyBorder="1" applyAlignment="1">
      <alignment horizontal="left" vertical="center" wrapText="1"/>
    </xf>
    <xf numFmtId="4" fontId="18" fillId="0" borderId="77" xfId="0" applyNumberFormat="1" applyFont="1" applyFill="1" applyBorder="1" applyAlignment="1">
      <alignment vertical="center" wrapText="1"/>
    </xf>
    <xf numFmtId="4" fontId="17" fillId="0" borderId="74" xfId="0" applyNumberFormat="1" applyFont="1" applyFill="1" applyBorder="1" applyAlignment="1">
      <alignment vertical="center" wrapText="1"/>
    </xf>
    <xf numFmtId="4" fontId="17" fillId="0" borderId="90" xfId="0" applyNumberFormat="1" applyFont="1" applyFill="1" applyBorder="1" applyAlignment="1">
      <alignment vertical="center" wrapText="1"/>
    </xf>
    <xf numFmtId="4" fontId="17" fillId="0" borderId="91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vertical="center" wrapText="1"/>
    </xf>
    <xf numFmtId="0" fontId="17" fillId="0" borderId="92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vertical="center" wrapText="1"/>
    </xf>
    <xf numFmtId="4" fontId="17" fillId="0" borderId="88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17" fillId="0" borderId="8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" fontId="31" fillId="0" borderId="87" xfId="0" applyNumberFormat="1" applyFont="1" applyFill="1" applyBorder="1" applyAlignment="1">
      <alignment horizontal="center" vertical="center" wrapText="1"/>
    </xf>
    <xf numFmtId="4" fontId="30" fillId="0" borderId="74" xfId="0" applyNumberFormat="1" applyFont="1" applyFill="1" applyBorder="1" applyAlignment="1">
      <alignment horizontal="right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vertical="center" wrapText="1"/>
    </xf>
    <xf numFmtId="0" fontId="17" fillId="0" borderId="90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vertical="center" wrapText="1"/>
    </xf>
    <xf numFmtId="0" fontId="18" fillId="0" borderId="75" xfId="0" applyFont="1" applyFill="1" applyBorder="1" applyAlignment="1">
      <alignment vertical="center" wrapText="1"/>
    </xf>
    <xf numFmtId="0" fontId="18" fillId="0" borderId="78" xfId="0" applyFont="1" applyFill="1" applyBorder="1" applyAlignment="1">
      <alignment vertical="center" wrapText="1"/>
    </xf>
    <xf numFmtId="4" fontId="18" fillId="0" borderId="75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4" fontId="23" fillId="0" borderId="93" xfId="0" applyNumberFormat="1" applyFont="1" applyFill="1" applyBorder="1" applyAlignment="1">
      <alignment horizontal="center" vertical="center" wrapText="1"/>
    </xf>
    <xf numFmtId="4" fontId="30" fillId="0" borderId="76" xfId="0" applyNumberFormat="1" applyFont="1" applyFill="1" applyBorder="1" applyAlignment="1">
      <alignment vertical="center" wrapText="1"/>
    </xf>
    <xf numFmtId="0" fontId="18" fillId="0" borderId="74" xfId="0" applyFont="1" applyFill="1" applyBorder="1" applyAlignment="1">
      <alignment horizontal="left" vertical="center" wrapText="1"/>
    </xf>
    <xf numFmtId="4" fontId="23" fillId="0" borderId="93" xfId="0" applyNumberFormat="1" applyFont="1" applyFill="1" applyBorder="1" applyAlignment="1" quotePrefix="1">
      <alignment horizontal="center" vertical="center" wrapText="1"/>
    </xf>
    <xf numFmtId="0" fontId="18" fillId="0" borderId="93" xfId="0" applyFont="1" applyFill="1" applyBorder="1" applyAlignment="1">
      <alignment vertical="center" wrapText="1"/>
    </xf>
    <xf numFmtId="0" fontId="17" fillId="0" borderId="8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7" fillId="0" borderId="93" xfId="0" applyFont="1" applyFill="1" applyBorder="1" applyAlignment="1">
      <alignment vertical="center" wrapText="1"/>
    </xf>
    <xf numFmtId="4" fontId="23" fillId="0" borderId="87" xfId="0" applyNumberFormat="1" applyFont="1" applyFill="1" applyBorder="1" applyAlignment="1">
      <alignment horizontal="center" vertical="center" wrapText="1"/>
    </xf>
    <xf numFmtId="4" fontId="30" fillId="0" borderId="76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4" fontId="30" fillId="0" borderId="19" xfId="0" applyNumberFormat="1" applyFont="1" applyFill="1" applyBorder="1" applyAlignment="1">
      <alignment horizontal="right" vertical="center" wrapText="1"/>
    </xf>
    <xf numFmtId="0" fontId="18" fillId="0" borderId="7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4" fontId="18" fillId="0" borderId="94" xfId="0" applyNumberFormat="1" applyFont="1" applyFill="1" applyBorder="1" applyAlignment="1">
      <alignment vertical="center" wrapText="1"/>
    </xf>
    <xf numFmtId="0" fontId="17" fillId="0" borderId="95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96" xfId="0" applyFont="1" applyFill="1" applyBorder="1" applyAlignment="1">
      <alignment horizontal="center" vertical="center" wrapText="1"/>
    </xf>
    <xf numFmtId="4" fontId="17" fillId="0" borderId="96" xfId="0" applyNumberFormat="1" applyFont="1" applyFill="1" applyBorder="1" applyAlignment="1">
      <alignment vertical="center" wrapText="1"/>
    </xf>
    <xf numFmtId="4" fontId="17" fillId="0" borderId="89" xfId="0" applyNumberFormat="1" applyFont="1" applyFill="1" applyBorder="1" applyAlignment="1">
      <alignment vertical="center" wrapText="1"/>
    </xf>
    <xf numFmtId="0" fontId="17" fillId="0" borderId="90" xfId="0" applyFont="1" applyFill="1" applyBorder="1" applyAlignment="1">
      <alignment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 wrapText="1"/>
    </xf>
    <xf numFmtId="0" fontId="18" fillId="0" borderId="86" xfId="0" applyFont="1" applyFill="1" applyBorder="1" applyAlignment="1">
      <alignment vertical="center" wrapText="1"/>
    </xf>
    <xf numFmtId="0" fontId="17" fillId="0" borderId="77" xfId="0" applyFont="1" applyFill="1" applyBorder="1" applyAlignment="1">
      <alignment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9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23" fillId="35" borderId="0" xfId="0" applyFont="1" applyFill="1" applyBorder="1" applyAlignment="1">
      <alignment vertical="center" wrapText="1"/>
    </xf>
    <xf numFmtId="4" fontId="27" fillId="35" borderId="74" xfId="0" applyNumberFormat="1" applyFont="1" applyFill="1" applyBorder="1" applyAlignment="1">
      <alignment horizontal="center" vertical="center" wrapText="1"/>
    </xf>
    <xf numFmtId="4" fontId="30" fillId="35" borderId="19" xfId="0" applyNumberFormat="1" applyFont="1" applyFill="1" applyBorder="1" applyAlignment="1">
      <alignment vertical="center" wrapText="1"/>
    </xf>
    <xf numFmtId="4" fontId="18" fillId="35" borderId="19" xfId="0" applyNumberFormat="1" applyFont="1" applyFill="1" applyBorder="1" applyAlignment="1">
      <alignment vertical="center" wrapText="1"/>
    </xf>
    <xf numFmtId="4" fontId="17" fillId="35" borderId="79" xfId="0" applyNumberFormat="1" applyFont="1" applyFill="1" applyBorder="1" applyAlignment="1">
      <alignment vertical="center" wrapText="1"/>
    </xf>
    <xf numFmtId="4" fontId="17" fillId="35" borderId="81" xfId="0" applyNumberFormat="1" applyFont="1" applyFill="1" applyBorder="1" applyAlignment="1">
      <alignment vertical="center" wrapText="1"/>
    </xf>
    <xf numFmtId="4" fontId="17" fillId="35" borderId="83" xfId="0" applyNumberFormat="1" applyFont="1" applyFill="1" applyBorder="1" applyAlignment="1">
      <alignment vertical="center" wrapText="1"/>
    </xf>
    <xf numFmtId="4" fontId="17" fillId="35" borderId="76" xfId="0" applyNumberFormat="1" applyFont="1" applyFill="1" applyBorder="1" applyAlignment="1">
      <alignment vertical="center" wrapText="1"/>
    </xf>
    <xf numFmtId="4" fontId="17" fillId="35" borderId="19" xfId="0" applyNumberFormat="1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center" wrapText="1"/>
    </xf>
    <xf numFmtId="4" fontId="30" fillId="35" borderId="74" xfId="0" applyNumberFormat="1" applyFont="1" applyFill="1" applyBorder="1" applyAlignment="1">
      <alignment vertical="center" wrapText="1"/>
    </xf>
    <xf numFmtId="4" fontId="17" fillId="35" borderId="90" xfId="0" applyNumberFormat="1" applyFont="1" applyFill="1" applyBorder="1" applyAlignment="1">
      <alignment vertical="center" wrapText="1"/>
    </xf>
    <xf numFmtId="4" fontId="18" fillId="35" borderId="74" xfId="0" applyNumberFormat="1" applyFont="1" applyFill="1" applyBorder="1" applyAlignment="1">
      <alignment vertical="center" wrapText="1"/>
    </xf>
    <xf numFmtId="4" fontId="17" fillId="35" borderId="88" xfId="0" applyNumberFormat="1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4" fontId="30" fillId="35" borderId="74" xfId="0" applyNumberFormat="1" applyFont="1" applyFill="1" applyBorder="1" applyAlignment="1">
      <alignment horizontal="right" vertical="center" wrapText="1"/>
    </xf>
    <xf numFmtId="4" fontId="18" fillId="35" borderId="76" xfId="0" applyNumberFormat="1" applyFont="1" applyFill="1" applyBorder="1" applyAlignment="1">
      <alignment vertical="center" wrapText="1"/>
    </xf>
    <xf numFmtId="4" fontId="17" fillId="35" borderId="74" xfId="0" applyNumberFormat="1" applyFont="1" applyFill="1" applyBorder="1" applyAlignment="1">
      <alignment vertical="center" wrapText="1"/>
    </xf>
    <xf numFmtId="0" fontId="18" fillId="35" borderId="78" xfId="0" applyFont="1" applyFill="1" applyBorder="1" applyAlignment="1">
      <alignment vertical="center" wrapText="1"/>
    </xf>
    <xf numFmtId="0" fontId="17" fillId="35" borderId="78" xfId="0" applyFont="1" applyFill="1" applyBorder="1" applyAlignment="1">
      <alignment vertical="center" wrapText="1"/>
    </xf>
    <xf numFmtId="0" fontId="18" fillId="35" borderId="0" xfId="0" applyFont="1" applyFill="1" applyBorder="1" applyAlignment="1">
      <alignment vertical="center" wrapText="1"/>
    </xf>
    <xf numFmtId="4" fontId="30" fillId="35" borderId="76" xfId="0" applyNumberFormat="1" applyFont="1" applyFill="1" applyBorder="1" applyAlignment="1">
      <alignment vertical="center" wrapText="1"/>
    </xf>
    <xf numFmtId="4" fontId="18" fillId="35" borderId="19" xfId="0" applyNumberFormat="1" applyFont="1" applyFill="1" applyBorder="1" applyAlignment="1">
      <alignment horizontal="right" vertical="center" wrapText="1"/>
    </xf>
    <xf numFmtId="4" fontId="17" fillId="35" borderId="75" xfId="0" applyNumberFormat="1" applyFont="1" applyFill="1" applyBorder="1" applyAlignment="1">
      <alignment vertical="center" wrapText="1"/>
    </xf>
    <xf numFmtId="0" fontId="18" fillId="35" borderId="19" xfId="0" applyFont="1" applyFill="1" applyBorder="1" applyAlignment="1">
      <alignment vertical="center" wrapText="1"/>
    </xf>
    <xf numFmtId="0" fontId="17" fillId="35" borderId="83" xfId="0" applyFont="1" applyFill="1" applyBorder="1" applyAlignment="1">
      <alignment vertical="center" wrapText="1"/>
    </xf>
    <xf numFmtId="0" fontId="17" fillId="35" borderId="81" xfId="0" applyFont="1" applyFill="1" applyBorder="1" applyAlignment="1">
      <alignment vertical="center" wrapText="1"/>
    </xf>
    <xf numFmtId="0" fontId="17" fillId="35" borderId="75" xfId="0" applyFont="1" applyFill="1" applyBorder="1" applyAlignment="1">
      <alignment vertical="center" wrapText="1"/>
    </xf>
    <xf numFmtId="4" fontId="30" fillId="35" borderId="76" xfId="0" applyNumberFormat="1" applyFont="1" applyFill="1" applyBorder="1" applyAlignment="1">
      <alignment horizontal="right" vertical="center" wrapText="1"/>
    </xf>
    <xf numFmtId="4" fontId="18" fillId="35" borderId="75" xfId="0" applyNumberFormat="1" applyFont="1" applyFill="1" applyBorder="1" applyAlignment="1">
      <alignment vertical="center" wrapText="1"/>
    </xf>
    <xf numFmtId="4" fontId="30" fillId="35" borderId="19" xfId="0" applyNumberFormat="1" applyFont="1" applyFill="1" applyBorder="1" applyAlignment="1">
      <alignment horizontal="right" vertical="center" wrapText="1"/>
    </xf>
    <xf numFmtId="4" fontId="18" fillId="35" borderId="94" xfId="0" applyNumberFormat="1" applyFont="1" applyFill="1" applyBorder="1" applyAlignment="1">
      <alignment vertical="center" wrapText="1"/>
    </xf>
    <xf numFmtId="4" fontId="17" fillId="35" borderId="80" xfId="0" applyNumberFormat="1" applyFont="1" applyFill="1" applyBorder="1" applyAlignment="1">
      <alignment vertical="center" wrapText="1"/>
    </xf>
    <xf numFmtId="4" fontId="17" fillId="35" borderId="78" xfId="0" applyNumberFormat="1" applyFont="1" applyFill="1" applyBorder="1" applyAlignment="1">
      <alignment vertical="center" wrapText="1"/>
    </xf>
    <xf numFmtId="0" fontId="18" fillId="35" borderId="75" xfId="0" applyFont="1" applyFill="1" applyBorder="1" applyAlignment="1">
      <alignment vertical="center" wrapText="1"/>
    </xf>
    <xf numFmtId="0" fontId="17" fillId="35" borderId="19" xfId="0" applyFont="1" applyFill="1" applyBorder="1" applyAlignment="1">
      <alignment vertical="center" wrapText="1"/>
    </xf>
    <xf numFmtId="4" fontId="19" fillId="35" borderId="0" xfId="0" applyNumberFormat="1" applyFont="1" applyFill="1" applyAlignment="1">
      <alignment vertical="center" wrapText="1"/>
    </xf>
    <xf numFmtId="0" fontId="17" fillId="0" borderId="84" xfId="0" applyFont="1" applyFill="1" applyBorder="1" applyAlignment="1">
      <alignment horizontal="center" vertical="center" wrapText="1"/>
    </xf>
    <xf numFmtId="4" fontId="17" fillId="0" borderId="97" xfId="0" applyNumberFormat="1" applyFont="1" applyFill="1" applyBorder="1" applyAlignment="1">
      <alignment vertical="center" wrapText="1"/>
    </xf>
    <xf numFmtId="0" fontId="39" fillId="0" borderId="0" xfId="52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 horizontal="center"/>
    </xf>
    <xf numFmtId="0" fontId="39" fillId="0" borderId="0" xfId="52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>
      <alignment horizontal="left"/>
    </xf>
    <xf numFmtId="0" fontId="40" fillId="0" borderId="68" xfId="52" applyNumberFormat="1" applyFont="1" applyFill="1" applyBorder="1" applyAlignment="1" applyProtection="1">
      <alignment/>
      <protection locked="0"/>
    </xf>
    <xf numFmtId="0" fontId="26" fillId="0" borderId="39" xfId="52" applyNumberFormat="1" applyFont="1" applyFill="1" applyBorder="1" applyAlignment="1" applyProtection="1">
      <alignment horizontal="left"/>
      <protection locked="0"/>
    </xf>
    <xf numFmtId="49" fontId="40" fillId="0" borderId="11" xfId="52" applyNumberFormat="1" applyFont="1" applyFill="1" applyBorder="1" applyAlignment="1" applyProtection="1">
      <alignment vertical="top" wrapText="1"/>
      <protection locked="0"/>
    </xf>
    <xf numFmtId="49" fontId="41" fillId="0" borderId="71" xfId="52" applyNumberFormat="1" applyFont="1" applyFill="1" applyBorder="1" applyAlignment="1" applyProtection="1">
      <alignment horizontal="center" vertical="center" wrapText="1"/>
      <protection locked="0"/>
    </xf>
    <xf numFmtId="4" fontId="42" fillId="0" borderId="71" xfId="52" applyNumberFormat="1" applyFont="1" applyFill="1" applyBorder="1" applyAlignment="1" applyProtection="1">
      <alignment horizontal="center" vertical="center" wrapText="1"/>
      <protection locked="0"/>
    </xf>
    <xf numFmtId="4" fontId="43" fillId="0" borderId="71" xfId="52" applyNumberFormat="1" applyFont="1" applyFill="1" applyBorder="1" applyAlignment="1" applyProtection="1">
      <alignment horizontal="center" vertical="center" wrapText="1"/>
      <protection locked="0"/>
    </xf>
    <xf numFmtId="4" fontId="42" fillId="0" borderId="98" xfId="52" applyNumberFormat="1" applyFont="1" applyFill="1" applyBorder="1" applyAlignment="1" applyProtection="1">
      <alignment horizontal="center" vertical="center" wrapText="1"/>
      <protection locked="0"/>
    </xf>
    <xf numFmtId="49" fontId="44" fillId="0" borderId="99" xfId="52" applyNumberFormat="1" applyFont="1" applyFill="1" applyBorder="1" applyAlignment="1" applyProtection="1">
      <alignment horizontal="center" vertical="center" wrapText="1"/>
      <protection locked="0"/>
    </xf>
    <xf numFmtId="49" fontId="44" fillId="0" borderId="99" xfId="52" applyNumberFormat="1" applyFont="1" applyFill="1" applyBorder="1" applyAlignment="1" applyProtection="1">
      <alignment horizontal="left" vertical="center" wrapText="1"/>
      <protection locked="0"/>
    </xf>
    <xf numFmtId="4" fontId="44" fillId="0" borderId="99" xfId="52" applyNumberFormat="1" applyFont="1" applyFill="1" applyBorder="1" applyAlignment="1" applyProtection="1">
      <alignment horizontal="right" vertical="center" wrapText="1"/>
      <protection locked="0"/>
    </xf>
    <xf numFmtId="49" fontId="44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45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45" fillId="0" borderId="101" xfId="52" applyNumberFormat="1" applyFont="1" applyFill="1" applyBorder="1" applyAlignment="1" applyProtection="1">
      <alignment horizontal="center" vertical="center" wrapText="1"/>
      <protection locked="0"/>
    </xf>
    <xf numFmtId="49" fontId="45" fillId="0" borderId="99" xfId="52" applyNumberFormat="1" applyFont="1" applyFill="1" applyBorder="1" applyAlignment="1" applyProtection="1">
      <alignment horizontal="center" vertical="center" wrapText="1"/>
      <protection locked="0"/>
    </xf>
    <xf numFmtId="49" fontId="45" fillId="0" borderId="99" xfId="52" applyNumberFormat="1" applyFont="1" applyFill="1" applyBorder="1" applyAlignment="1" applyProtection="1">
      <alignment horizontal="left" vertical="center" wrapText="1"/>
      <protection locked="0"/>
    </xf>
    <xf numFmtId="4" fontId="45" fillId="0" borderId="99" xfId="52" applyNumberFormat="1" applyFont="1" applyFill="1" applyBorder="1" applyAlignment="1" applyProtection="1">
      <alignment horizontal="right" vertical="center" wrapText="1"/>
      <protection locked="0"/>
    </xf>
    <xf numFmtId="49" fontId="44" fillId="0" borderId="102" xfId="52" applyNumberFormat="1" applyFont="1" applyFill="1" applyBorder="1" applyAlignment="1" applyProtection="1">
      <alignment horizontal="center" vertical="center" wrapText="1"/>
      <protection locked="0"/>
    </xf>
    <xf numFmtId="49" fontId="44" fillId="0" borderId="102" xfId="52" applyNumberFormat="1" applyFont="1" applyFill="1" applyBorder="1" applyAlignment="1" applyProtection="1">
      <alignment horizontal="left" vertical="center" wrapText="1"/>
      <protection locked="0"/>
    </xf>
    <xf numFmtId="4" fontId="44" fillId="0" borderId="102" xfId="52" applyNumberFormat="1" applyFont="1" applyFill="1" applyBorder="1" applyAlignment="1" applyProtection="1">
      <alignment horizontal="right" vertical="center" wrapText="1"/>
      <protection locked="0"/>
    </xf>
    <xf numFmtId="49" fontId="46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99" xfId="52" applyNumberFormat="1" applyFont="1" applyFill="1" applyBorder="1" applyAlignment="1" applyProtection="1">
      <alignment horizontal="center" vertical="center" wrapText="1"/>
      <protection locked="0"/>
    </xf>
    <xf numFmtId="49" fontId="45" fillId="0" borderId="103" xfId="52" applyNumberFormat="1" applyFont="1" applyFill="1" applyBorder="1" applyAlignment="1" applyProtection="1">
      <alignment horizontal="center" vertical="center" wrapText="1"/>
      <protection locked="0"/>
    </xf>
    <xf numFmtId="49" fontId="44" fillId="0" borderId="101" xfId="52" applyNumberFormat="1" applyFont="1" applyFill="1" applyBorder="1" applyAlignment="1" applyProtection="1">
      <alignment horizontal="center" vertical="center" wrapText="1"/>
      <protection locked="0"/>
    </xf>
    <xf numFmtId="4" fontId="42" fillId="0" borderId="104" xfId="52" applyNumberFormat="1" applyFont="1" applyFill="1" applyBorder="1" applyAlignment="1" applyProtection="1">
      <alignment horizontal="right" vertical="center" wrapText="1"/>
      <protection locked="0"/>
    </xf>
    <xf numFmtId="49" fontId="46" fillId="0" borderId="105" xfId="52" applyNumberFormat="1" applyFont="1" applyFill="1" applyBorder="1" applyAlignment="1" applyProtection="1">
      <alignment horizontal="center" vertical="center" wrapText="1"/>
      <protection locked="0"/>
    </xf>
    <xf numFmtId="4" fontId="43" fillId="0" borderId="106" xfId="52" applyNumberFormat="1" applyFont="1" applyFill="1" applyBorder="1" applyAlignment="1" applyProtection="1">
      <alignment/>
      <protection locked="0"/>
    </xf>
    <xf numFmtId="4" fontId="26" fillId="0" borderId="0" xfId="52" applyNumberFormat="1" applyFont="1" applyFill="1" applyBorder="1" applyAlignment="1" applyProtection="1">
      <alignment horizontal="left"/>
      <protection locked="0"/>
    </xf>
    <xf numFmtId="0" fontId="39" fillId="0" borderId="0" xfId="52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6" fillId="0" borderId="86" xfId="0" applyNumberFormat="1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/>
    </xf>
    <xf numFmtId="4" fontId="8" fillId="0" borderId="74" xfId="0" applyNumberFormat="1" applyFont="1" applyFill="1" applyBorder="1" applyAlignment="1">
      <alignment vertical="center"/>
    </xf>
    <xf numFmtId="4" fontId="4" fillId="0" borderId="107" xfId="0" applyNumberFormat="1" applyFont="1" applyFill="1" applyBorder="1" applyAlignment="1">
      <alignment vertical="center"/>
    </xf>
    <xf numFmtId="49" fontId="6" fillId="0" borderId="89" xfId="0" applyNumberFormat="1" applyFont="1" applyFill="1" applyBorder="1" applyAlignment="1">
      <alignment horizontal="center" vertical="center"/>
    </xf>
    <xf numFmtId="49" fontId="13" fillId="0" borderId="81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4" fontId="7" fillId="0" borderId="81" xfId="0" applyNumberFormat="1" applyFont="1" applyFill="1" applyBorder="1" applyAlignment="1">
      <alignment vertical="center"/>
    </xf>
    <xf numFmtId="4" fontId="4" fillId="0" borderId="97" xfId="0" applyNumberFormat="1" applyFont="1" applyFill="1" applyBorder="1" applyAlignment="1">
      <alignment vertical="center"/>
    </xf>
    <xf numFmtId="49" fontId="6" fillId="0" borderId="93" xfId="0" applyNumberFormat="1" applyFont="1" applyFill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vertical="center"/>
    </xf>
    <xf numFmtId="4" fontId="4" fillId="0" borderId="90" xfId="0" applyNumberFormat="1" applyFont="1" applyFill="1" applyBorder="1" applyAlignment="1">
      <alignment vertical="center"/>
    </xf>
    <xf numFmtId="4" fontId="4" fillId="0" borderId="10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26" fillId="0" borderId="0" xfId="52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>
      <alignment horizontal="left"/>
    </xf>
    <xf numFmtId="49" fontId="48" fillId="0" borderId="99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02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09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10" xfId="52" applyNumberFormat="1" applyFont="1" applyFill="1" applyBorder="1" applyAlignment="1" applyProtection="1">
      <alignment horizontal="center" vertical="center" wrapText="1"/>
      <protection locked="0"/>
    </xf>
    <xf numFmtId="4" fontId="48" fillId="0" borderId="102" xfId="52" applyNumberFormat="1" applyFont="1" applyFill="1" applyBorder="1" applyAlignment="1" applyProtection="1">
      <alignment horizontal="right" vertical="center" wrapText="1"/>
      <protection locked="0"/>
    </xf>
    <xf numFmtId="4" fontId="48" fillId="0" borderId="99" xfId="52" applyNumberFormat="1" applyFont="1" applyFill="1" applyBorder="1" applyAlignment="1" applyProtection="1">
      <alignment horizontal="right" vertical="center" wrapText="1"/>
      <protection locked="0"/>
    </xf>
    <xf numFmtId="49" fontId="49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49" fillId="0" borderId="99" xfId="52" applyNumberFormat="1" applyFont="1" applyFill="1" applyBorder="1" applyAlignment="1" applyProtection="1">
      <alignment horizontal="center" vertical="center" wrapText="1"/>
      <protection locked="0"/>
    </xf>
    <xf numFmtId="4" fontId="49" fillId="0" borderId="99" xfId="52" applyNumberFormat="1" applyFont="1" applyFill="1" applyBorder="1" applyAlignment="1" applyProtection="1">
      <alignment horizontal="right" vertical="center" wrapText="1"/>
      <protection locked="0"/>
    </xf>
    <xf numFmtId="4" fontId="49" fillId="0" borderId="111" xfId="52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52" applyNumberFormat="1" applyFont="1" applyFill="1" applyBorder="1" applyAlignment="1" applyProtection="1">
      <alignment horizontal="left" vertical="center"/>
      <protection locked="0"/>
    </xf>
    <xf numFmtId="0" fontId="41" fillId="0" borderId="0" xfId="52" applyNumberFormat="1" applyFont="1" applyFill="1" applyBorder="1" applyAlignment="1" applyProtection="1">
      <alignment horizontal="left" vertical="center"/>
      <protection locked="0"/>
    </xf>
    <xf numFmtId="49" fontId="49" fillId="0" borderId="109" xfId="52" applyNumberFormat="1" applyFont="1" applyFill="1" applyBorder="1" applyAlignment="1" applyProtection="1">
      <alignment horizontal="center" vertical="center" wrapText="1"/>
      <protection locked="0"/>
    </xf>
    <xf numFmtId="4" fontId="49" fillId="0" borderId="109" xfId="52" applyNumberFormat="1" applyFont="1" applyFill="1" applyBorder="1" applyAlignment="1" applyProtection="1">
      <alignment horizontal="right" vertical="center" wrapText="1"/>
      <protection locked="0"/>
    </xf>
    <xf numFmtId="4" fontId="49" fillId="0" borderId="103" xfId="52" applyNumberFormat="1" applyFont="1" applyFill="1" applyBorder="1" applyAlignment="1" applyProtection="1">
      <alignment horizontal="right" vertical="center" wrapText="1"/>
      <protection locked="0"/>
    </xf>
    <xf numFmtId="4" fontId="49" fillId="0" borderId="0" xfId="52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4" fontId="7" fillId="0" borderId="74" xfId="0" applyNumberFormat="1" applyFont="1" applyFill="1" applyBorder="1" applyAlignment="1">
      <alignment vertical="center" wrapText="1"/>
    </xf>
    <xf numFmtId="4" fontId="11" fillId="0" borderId="74" xfId="0" applyNumberFormat="1" applyFont="1" applyFill="1" applyBorder="1" applyAlignment="1">
      <alignment vertical="center" wrapText="1"/>
    </xf>
    <xf numFmtId="4" fontId="4" fillId="0" borderId="74" xfId="0" applyNumberFormat="1" applyFont="1" applyFill="1" applyBorder="1" applyAlignment="1">
      <alignment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4" fontId="4" fillId="0" borderId="81" xfId="0" applyNumberFormat="1" applyFont="1" applyFill="1" applyBorder="1" applyAlignment="1">
      <alignment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4" fontId="4" fillId="0" borderId="75" xfId="0" applyNumberFormat="1" applyFont="1" applyFill="1" applyBorder="1" applyAlignment="1">
      <alignment horizontal="left" vertical="center" wrapText="1"/>
    </xf>
    <xf numFmtId="4" fontId="4" fillId="0" borderId="75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17" fillId="0" borderId="85" xfId="0" applyFont="1" applyFill="1" applyBorder="1" applyAlignment="1">
      <alignment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84" xfId="0" applyFont="1" applyBorder="1" applyAlignment="1">
      <alignment vertical="center" wrapText="1"/>
    </xf>
    <xf numFmtId="0" fontId="17" fillId="0" borderId="83" xfId="0" applyFont="1" applyBorder="1" applyAlignment="1">
      <alignment horizontal="center" vertical="center" wrapText="1"/>
    </xf>
    <xf numFmtId="4" fontId="17" fillId="0" borderId="108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12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0" fontId="18" fillId="0" borderId="9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4" fontId="19" fillId="0" borderId="47" xfId="0" applyNumberFormat="1" applyFont="1" applyFill="1" applyBorder="1" applyAlignment="1">
      <alignment horizontal="right" vertical="center"/>
    </xf>
    <xf numFmtId="4" fontId="19" fillId="0" borderId="114" xfId="0" applyNumberFormat="1" applyFont="1" applyFill="1" applyBorder="1" applyAlignment="1">
      <alignment horizontal="right" vertical="center"/>
    </xf>
    <xf numFmtId="4" fontId="19" fillId="0" borderId="35" xfId="0" applyNumberFormat="1" applyFont="1" applyFill="1" applyBorder="1" applyAlignment="1">
      <alignment horizontal="right" vertical="center"/>
    </xf>
    <xf numFmtId="4" fontId="19" fillId="0" borderId="3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Alignment="1">
      <alignment/>
    </xf>
    <xf numFmtId="49" fontId="17" fillId="0" borderId="115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left" vertical="center"/>
    </xf>
    <xf numFmtId="4" fontId="18" fillId="0" borderId="117" xfId="0" applyNumberFormat="1" applyFont="1" applyFill="1" applyBorder="1" applyAlignment="1">
      <alignment horizontal="right" vertical="center"/>
    </xf>
    <xf numFmtId="4" fontId="5" fillId="0" borderId="117" xfId="0" applyNumberFormat="1" applyFont="1" applyFill="1" applyBorder="1" applyAlignment="1">
      <alignment horizontal="right" vertical="center"/>
    </xf>
    <xf numFmtId="4" fontId="17" fillId="0" borderId="118" xfId="0" applyNumberFormat="1" applyFont="1" applyFill="1" applyBorder="1" applyAlignment="1">
      <alignment horizontal="right"/>
    </xf>
    <xf numFmtId="4" fontId="17" fillId="0" borderId="58" xfId="0" applyNumberFormat="1" applyFont="1" applyFill="1" applyBorder="1" applyAlignment="1">
      <alignment horizontal="right"/>
    </xf>
    <xf numFmtId="4" fontId="17" fillId="0" borderId="116" xfId="0" applyNumberFormat="1" applyFont="1" applyFill="1" applyBorder="1" applyAlignment="1">
      <alignment horizontal="right" vertical="center"/>
    </xf>
    <xf numFmtId="49" fontId="17" fillId="0" borderId="119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/>
    </xf>
    <xf numFmtId="4" fontId="18" fillId="0" borderId="120" xfId="0" applyNumberFormat="1" applyFont="1" applyFill="1" applyBorder="1" applyAlignment="1">
      <alignment horizontal="right" vertical="center"/>
    </xf>
    <xf numFmtId="4" fontId="5" fillId="0" borderId="121" xfId="0" applyNumberFormat="1" applyFont="1" applyFill="1" applyBorder="1" applyAlignment="1">
      <alignment horizontal="right" vertical="center"/>
    </xf>
    <xf numFmtId="4" fontId="17" fillId="0" borderId="122" xfId="0" applyNumberFormat="1" applyFont="1" applyFill="1" applyBorder="1" applyAlignment="1">
      <alignment horizontal="right"/>
    </xf>
    <xf numFmtId="4" fontId="17" fillId="0" borderId="22" xfId="0" applyNumberFormat="1" applyFont="1" applyFill="1" applyBorder="1" applyAlignment="1">
      <alignment horizontal="right"/>
    </xf>
    <xf numFmtId="4" fontId="17" fillId="0" borderId="28" xfId="0" applyNumberFormat="1" applyFont="1" applyFill="1" applyBorder="1" applyAlignment="1">
      <alignment horizontal="right" vertical="center"/>
    </xf>
    <xf numFmtId="4" fontId="17" fillId="0" borderId="23" xfId="0" applyNumberFormat="1" applyFont="1" applyFill="1" applyBorder="1" applyAlignment="1">
      <alignment horizontal="right"/>
    </xf>
    <xf numFmtId="4" fontId="5" fillId="0" borderId="120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Alignment="1">
      <alignment/>
    </xf>
    <xf numFmtId="49" fontId="4" fillId="0" borderId="57" xfId="0" applyNumberFormat="1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vertical="center" wrapText="1"/>
    </xf>
    <xf numFmtId="4" fontId="17" fillId="0" borderId="124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 vertical="center"/>
    </xf>
    <xf numFmtId="4" fontId="17" fillId="0" borderId="57" xfId="0" applyNumberFormat="1" applyFont="1" applyFill="1" applyBorder="1" applyAlignment="1">
      <alignment horizontal="right" vertical="center"/>
    </xf>
    <xf numFmtId="4" fontId="17" fillId="0" borderId="23" xfId="0" applyNumberFormat="1" applyFont="1" applyFill="1" applyBorder="1" applyAlignment="1">
      <alignment horizontal="right" vertical="center"/>
    </xf>
    <xf numFmtId="4" fontId="5" fillId="0" borderId="125" xfId="0" applyNumberFormat="1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26" xfId="0" applyFont="1" applyFill="1" applyBorder="1" applyAlignment="1">
      <alignment horizontal="left" vertical="center" wrapText="1"/>
    </xf>
    <xf numFmtId="4" fontId="19" fillId="0" borderId="47" xfId="0" applyNumberFormat="1" applyFont="1" applyFill="1" applyBorder="1" applyAlignment="1">
      <alignment horizontal="right" vertical="center"/>
    </xf>
    <xf numFmtId="4" fontId="19" fillId="0" borderId="114" xfId="0" applyNumberFormat="1" applyFont="1" applyFill="1" applyBorder="1" applyAlignment="1">
      <alignment horizontal="right" vertical="center"/>
    </xf>
    <xf numFmtId="4" fontId="19" fillId="0" borderId="35" xfId="0" applyNumberFormat="1" applyFont="1" applyFill="1" applyBorder="1" applyAlignment="1">
      <alignment horizontal="right" vertical="center"/>
    </xf>
    <xf numFmtId="4" fontId="19" fillId="0" borderId="3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center" wrapText="1"/>
    </xf>
    <xf numFmtId="4" fontId="5" fillId="0" borderId="127" xfId="0" applyNumberFormat="1" applyFont="1" applyFill="1" applyBorder="1" applyAlignment="1">
      <alignment horizontal="right" vertical="center"/>
    </xf>
    <xf numFmtId="4" fontId="17" fillId="0" borderId="128" xfId="0" applyNumberFormat="1" applyFont="1" applyFill="1" applyBorder="1" applyAlignment="1">
      <alignment horizontal="right"/>
    </xf>
    <xf numFmtId="4" fontId="17" fillId="0" borderId="33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/>
    </xf>
    <xf numFmtId="4" fontId="17" fillId="0" borderId="129" xfId="0" applyNumberFormat="1" applyFont="1" applyFill="1" applyBorder="1" applyAlignment="1">
      <alignment horizontal="right" vertical="center"/>
    </xf>
    <xf numFmtId="0" fontId="4" fillId="0" borderId="126" xfId="0" applyFont="1" applyFill="1" applyBorder="1" applyAlignment="1">
      <alignment vertical="center" wrapText="1"/>
    </xf>
    <xf numFmtId="4" fontId="17" fillId="0" borderId="22" xfId="0" applyNumberFormat="1" applyFont="1" applyFill="1" applyBorder="1" applyAlignment="1">
      <alignment horizontal="right" vertical="center"/>
    </xf>
    <xf numFmtId="0" fontId="17" fillId="0" borderId="0" xfId="57" applyFont="1" applyFill="1">
      <alignment/>
      <protection/>
    </xf>
    <xf numFmtId="0" fontId="19" fillId="0" borderId="0" xfId="57" applyFont="1" applyFill="1">
      <alignment/>
      <protection/>
    </xf>
    <xf numFmtId="0" fontId="17" fillId="0" borderId="15" xfId="57" applyFont="1" applyFill="1" applyBorder="1" applyAlignment="1">
      <alignment horizontal="center"/>
      <protection/>
    </xf>
    <xf numFmtId="0" fontId="17" fillId="0" borderId="13" xfId="57" applyFont="1" applyFill="1" applyBorder="1" applyAlignment="1">
      <alignment horizontal="center"/>
      <protection/>
    </xf>
    <xf numFmtId="0" fontId="17" fillId="0" borderId="11" xfId="57" applyFont="1" applyFill="1" applyBorder="1" applyAlignment="1">
      <alignment horizontal="center"/>
      <protection/>
    </xf>
    <xf numFmtId="49" fontId="17" fillId="0" borderId="11" xfId="57" applyNumberFormat="1" applyFont="1" applyFill="1" applyBorder="1" applyAlignment="1">
      <alignment horizontal="center"/>
      <protection/>
    </xf>
    <xf numFmtId="4" fontId="17" fillId="0" borderId="11" xfId="57" applyNumberFormat="1" applyFont="1" applyFill="1" applyBorder="1" applyAlignment="1">
      <alignment horizontal="right"/>
      <protection/>
    </xf>
    <xf numFmtId="4" fontId="17" fillId="0" borderId="0" xfId="57" applyNumberFormat="1" applyFont="1" applyFill="1">
      <alignment/>
      <protection/>
    </xf>
    <xf numFmtId="0" fontId="17" fillId="0" borderId="50" xfId="57" applyFont="1" applyFill="1" applyBorder="1" applyAlignment="1">
      <alignment vertical="center"/>
      <protection/>
    </xf>
    <xf numFmtId="0" fontId="17" fillId="0" borderId="0" xfId="57" applyFont="1" applyFill="1" applyAlignment="1">
      <alignment vertical="center"/>
      <protection/>
    </xf>
    <xf numFmtId="0" fontId="18" fillId="0" borderId="11" xfId="57" applyFont="1" applyFill="1" applyBorder="1" applyAlignment="1">
      <alignment horizontal="center"/>
      <protection/>
    </xf>
    <xf numFmtId="4" fontId="18" fillId="0" borderId="11" xfId="57" applyNumberFormat="1" applyFont="1" applyFill="1" applyBorder="1" applyAlignment="1">
      <alignment horizontal="right"/>
      <protection/>
    </xf>
    <xf numFmtId="0" fontId="18" fillId="0" borderId="0" xfId="57" applyFont="1" applyFill="1">
      <alignment/>
      <protection/>
    </xf>
    <xf numFmtId="4" fontId="18" fillId="0" borderId="0" xfId="57" applyNumberFormat="1" applyFont="1" applyFill="1">
      <alignment/>
      <protection/>
    </xf>
    <xf numFmtId="0" fontId="17" fillId="0" borderId="11" xfId="57" applyFont="1" applyFill="1" applyBorder="1" applyAlignment="1">
      <alignment horizontal="center" vertical="center"/>
      <protection/>
    </xf>
    <xf numFmtId="0" fontId="18" fillId="0" borderId="0" xfId="57" applyFont="1" applyFill="1" applyAlignment="1">
      <alignment vertical="center"/>
      <protection/>
    </xf>
    <xf numFmtId="0" fontId="15" fillId="0" borderId="72" xfId="0" applyFont="1" applyFill="1" applyBorder="1" applyAlignment="1">
      <alignment horizontal="center"/>
    </xf>
    <xf numFmtId="4" fontId="17" fillId="0" borderId="15" xfId="57" applyNumberFormat="1" applyFont="1" applyFill="1" applyBorder="1" applyAlignment="1">
      <alignment horizontal="right"/>
      <protection/>
    </xf>
    <xf numFmtId="0" fontId="15" fillId="0" borderId="52" xfId="0" applyFont="1" applyFill="1" applyBorder="1" applyAlignment="1">
      <alignment horizontal="center"/>
    </xf>
    <xf numFmtId="4" fontId="17" fillId="0" borderId="13" xfId="57" applyNumberFormat="1" applyFont="1" applyFill="1" applyBorder="1" applyAlignment="1">
      <alignment horizontal="right"/>
      <protection/>
    </xf>
    <xf numFmtId="0" fontId="17" fillId="0" borderId="14" xfId="57" applyFont="1" applyFill="1" applyBorder="1" applyAlignment="1">
      <alignment horizontal="center"/>
      <protection/>
    </xf>
    <xf numFmtId="0" fontId="17" fillId="0" borderId="52" xfId="57" applyFont="1" applyFill="1" applyBorder="1">
      <alignment/>
      <protection/>
    </xf>
    <xf numFmtId="0" fontId="17" fillId="0" borderId="80" xfId="57" applyFont="1" applyFill="1" applyBorder="1">
      <alignment/>
      <protection/>
    </xf>
    <xf numFmtId="0" fontId="17" fillId="0" borderId="130" xfId="57" applyFont="1" applyFill="1" applyBorder="1" applyAlignment="1">
      <alignment horizontal="center"/>
      <protection/>
    </xf>
    <xf numFmtId="4" fontId="17" fillId="0" borderId="12" xfId="57" applyNumberFormat="1" applyFont="1" applyFill="1" applyBorder="1" applyAlignment="1">
      <alignment horizontal="right"/>
      <protection/>
    </xf>
    <xf numFmtId="0" fontId="17" fillId="0" borderId="82" xfId="57" applyFont="1" applyFill="1" applyBorder="1" applyAlignment="1">
      <alignment vertical="center"/>
      <protection/>
    </xf>
    <xf numFmtId="0" fontId="18" fillId="0" borderId="82" xfId="57" applyFont="1" applyFill="1" applyBorder="1" applyAlignment="1">
      <alignment vertical="center"/>
      <protection/>
    </xf>
    <xf numFmtId="4" fontId="17" fillId="0" borderId="11" xfId="57" applyNumberFormat="1" applyFont="1" applyFill="1" applyBorder="1" applyAlignment="1">
      <alignment horizontal="right" vertical="center"/>
      <protection/>
    </xf>
    <xf numFmtId="4" fontId="18" fillId="0" borderId="11" xfId="57" applyNumberFormat="1" applyFont="1" applyFill="1" applyBorder="1" applyAlignment="1">
      <alignment vertical="center"/>
      <protection/>
    </xf>
    <xf numFmtId="0" fontId="17" fillId="35" borderId="50" xfId="57" applyFont="1" applyFill="1" applyBorder="1" applyAlignment="1">
      <alignment vertical="center"/>
      <protection/>
    </xf>
    <xf numFmtId="0" fontId="62" fillId="0" borderId="51" xfId="56" applyFont="1" applyFill="1" applyBorder="1" applyAlignment="1">
      <alignment vertical="center" wrapText="1"/>
      <protection/>
    </xf>
    <xf numFmtId="4" fontId="26" fillId="0" borderId="131" xfId="56" applyNumberFormat="1" applyFont="1" applyFill="1" applyBorder="1" applyAlignment="1">
      <alignment vertical="center"/>
      <protection/>
    </xf>
    <xf numFmtId="4" fontId="17" fillId="0" borderId="40" xfId="56" applyNumberFormat="1" applyFont="1" applyFill="1" applyBorder="1" applyAlignment="1">
      <alignment vertical="center"/>
      <protection/>
    </xf>
    <xf numFmtId="0" fontId="27" fillId="0" borderId="48" xfId="56" applyFont="1" applyFill="1" applyBorder="1" applyAlignment="1">
      <alignment horizontal="left" vertical="center" wrapText="1"/>
      <protection/>
    </xf>
    <xf numFmtId="0" fontId="26" fillId="0" borderId="132" xfId="56" applyFont="1" applyFill="1" applyBorder="1" applyAlignment="1">
      <alignment vertical="center" wrapText="1"/>
      <protection/>
    </xf>
    <xf numFmtId="0" fontId="58" fillId="0" borderId="133" xfId="56" applyFont="1" applyFill="1" applyBorder="1" applyAlignment="1">
      <alignment vertical="center" wrapText="1"/>
      <protection/>
    </xf>
    <xf numFmtId="0" fontId="58" fillId="0" borderId="134" xfId="56" applyFont="1" applyFill="1" applyBorder="1" applyAlignment="1">
      <alignment vertical="center" wrapText="1"/>
      <protection/>
    </xf>
    <xf numFmtId="0" fontId="58" fillId="0" borderId="135" xfId="56" applyFont="1" applyFill="1" applyBorder="1" applyAlignment="1">
      <alignment vertical="center" wrapText="1"/>
      <protection/>
    </xf>
    <xf numFmtId="0" fontId="18" fillId="0" borderId="48" xfId="56" applyFont="1" applyFill="1" applyBorder="1" applyAlignment="1">
      <alignment horizontal="left" vertical="center" wrapText="1"/>
      <protection/>
    </xf>
    <xf numFmtId="0" fontId="17" fillId="0" borderId="53" xfId="56" applyFont="1" applyFill="1" applyBorder="1" applyAlignment="1">
      <alignment horizontal="left" vertical="center" wrapText="1"/>
      <protection/>
    </xf>
    <xf numFmtId="0" fontId="17" fillId="0" borderId="132" xfId="56" applyFont="1" applyFill="1" applyBorder="1" applyAlignment="1">
      <alignment horizontal="left" vertical="center" wrapText="1"/>
      <protection/>
    </xf>
    <xf numFmtId="0" fontId="53" fillId="0" borderId="135" xfId="56" applyFont="1" applyFill="1" applyBorder="1" applyAlignment="1">
      <alignment horizontal="left" vertical="center" wrapText="1"/>
      <protection/>
    </xf>
    <xf numFmtId="0" fontId="18" fillId="0" borderId="48" xfId="56" applyFont="1" applyFill="1" applyBorder="1" applyAlignment="1">
      <alignment vertical="center"/>
      <protection/>
    </xf>
    <xf numFmtId="4" fontId="26" fillId="0" borderId="136" xfId="56" applyNumberFormat="1" applyFont="1" applyFill="1" applyBorder="1" applyAlignment="1">
      <alignment horizontal="left" vertical="center"/>
      <protection/>
    </xf>
    <xf numFmtId="4" fontId="26" fillId="0" borderId="70" xfId="56" applyNumberFormat="1" applyFont="1" applyFill="1" applyBorder="1" applyAlignment="1">
      <alignment vertical="center"/>
      <protection/>
    </xf>
    <xf numFmtId="4" fontId="26" fillId="0" borderId="137" xfId="56" applyNumberFormat="1" applyFont="1" applyFill="1" applyBorder="1" applyAlignment="1">
      <alignment vertical="center"/>
      <protection/>
    </xf>
    <xf numFmtId="4" fontId="26" fillId="0" borderId="138" xfId="56" applyNumberFormat="1" applyFont="1" applyFill="1" applyBorder="1" applyAlignment="1">
      <alignment vertical="center"/>
      <protection/>
    </xf>
    <xf numFmtId="4" fontId="17" fillId="0" borderId="113" xfId="56" applyNumberFormat="1" applyFont="1" applyFill="1" applyBorder="1" applyAlignment="1">
      <alignment vertical="center"/>
      <protection/>
    </xf>
    <xf numFmtId="4" fontId="17" fillId="0" borderId="137" xfId="56" applyNumberFormat="1" applyFont="1" applyFill="1" applyBorder="1" applyAlignment="1">
      <alignment vertical="center"/>
      <protection/>
    </xf>
    <xf numFmtId="4" fontId="17" fillId="0" borderId="138" xfId="56" applyNumberFormat="1" applyFont="1" applyFill="1" applyBorder="1" applyAlignment="1">
      <alignment vertical="center"/>
      <protection/>
    </xf>
    <xf numFmtId="4" fontId="17" fillId="0" borderId="136" xfId="56" applyNumberFormat="1" applyFont="1" applyFill="1" applyBorder="1" applyAlignment="1">
      <alignment vertical="center"/>
      <protection/>
    </xf>
    <xf numFmtId="4" fontId="52" fillId="0" borderId="127" xfId="56" applyNumberFormat="1" applyFont="1" applyFill="1" applyBorder="1" applyAlignment="1">
      <alignment vertical="center"/>
      <protection/>
    </xf>
    <xf numFmtId="4" fontId="18" fillId="0" borderId="114" xfId="56" applyNumberFormat="1" applyFont="1" applyFill="1" applyBorder="1" applyAlignment="1">
      <alignment vertical="center"/>
      <protection/>
    </xf>
    <xf numFmtId="4" fontId="51" fillId="0" borderId="30" xfId="56" applyNumberFormat="1" applyFont="1" applyFill="1" applyBorder="1" applyAlignment="1">
      <alignment vertical="center"/>
      <protection/>
    </xf>
    <xf numFmtId="4" fontId="26" fillId="0" borderId="139" xfId="56" applyNumberFormat="1" applyFont="1" applyFill="1" applyBorder="1" applyAlignment="1">
      <alignment horizontal="left" vertical="center"/>
      <protection/>
    </xf>
    <xf numFmtId="4" fontId="26" fillId="0" borderId="42" xfId="56" applyNumberFormat="1" applyFont="1" applyFill="1" applyBorder="1" applyAlignment="1">
      <alignment vertical="center"/>
      <protection/>
    </xf>
    <xf numFmtId="4" fontId="26" fillId="0" borderId="27" xfId="56" applyNumberFormat="1" applyFont="1" applyFill="1" applyBorder="1" applyAlignment="1">
      <alignment vertical="center"/>
      <protection/>
    </xf>
    <xf numFmtId="4" fontId="26" fillId="0" borderId="98" xfId="56" applyNumberFormat="1" applyFont="1" applyFill="1" applyBorder="1" applyAlignment="1">
      <alignment vertical="center"/>
      <protection/>
    </xf>
    <xf numFmtId="4" fontId="18" fillId="0" borderId="30" xfId="56" applyNumberFormat="1" applyFont="1" applyFill="1" applyBorder="1" applyAlignment="1">
      <alignment vertical="center"/>
      <protection/>
    </xf>
    <xf numFmtId="4" fontId="17" fillId="0" borderId="56" xfId="56" applyNumberFormat="1" applyFont="1" applyFill="1" applyBorder="1" applyAlignment="1">
      <alignment vertical="center"/>
      <protection/>
    </xf>
    <xf numFmtId="4" fontId="17" fillId="0" borderId="139" xfId="56" applyNumberFormat="1" applyFont="1" applyFill="1" applyBorder="1" applyAlignment="1">
      <alignment vertical="center"/>
      <protection/>
    </xf>
    <xf numFmtId="4" fontId="52" fillId="0" borderId="129" xfId="56" applyNumberFormat="1" applyFont="1" applyFill="1" applyBorder="1" applyAlignment="1">
      <alignment vertical="center"/>
      <protection/>
    </xf>
    <xf numFmtId="4" fontId="59" fillId="0" borderId="0" xfId="52" applyNumberFormat="1" applyFont="1" applyFill="1" applyBorder="1" applyAlignment="1" applyProtection="1">
      <alignment horizontal="right" vertical="center"/>
      <protection locked="0"/>
    </xf>
    <xf numFmtId="4" fontId="59" fillId="0" borderId="99" xfId="52" applyNumberFormat="1" applyFont="1" applyFill="1" applyBorder="1" applyAlignment="1" applyProtection="1">
      <alignment horizontal="right" vertical="center"/>
      <protection locked="0"/>
    </xf>
    <xf numFmtId="0" fontId="17" fillId="0" borderId="89" xfId="0" applyFont="1" applyFill="1" applyBorder="1" applyAlignment="1">
      <alignment horizontal="center" vertical="center" wrapText="1"/>
    </xf>
    <xf numFmtId="4" fontId="17" fillId="0" borderId="140" xfId="0" applyNumberFormat="1" applyFont="1" applyFill="1" applyBorder="1" applyAlignment="1">
      <alignment horizontal="right" vertical="center"/>
    </xf>
    <xf numFmtId="4" fontId="17" fillId="35" borderId="11" xfId="57" applyNumberFormat="1" applyFont="1" applyFill="1" applyBorder="1" applyAlignment="1">
      <alignment horizontal="right" vertical="center"/>
      <protection/>
    </xf>
    <xf numFmtId="0" fontId="26" fillId="0" borderId="16" xfId="56" applyFont="1" applyFill="1" applyBorder="1" applyAlignment="1">
      <alignment horizontal="center" vertical="center"/>
      <protection/>
    </xf>
    <xf numFmtId="0" fontId="57" fillId="0" borderId="58" xfId="55" applyFont="1" applyFill="1" applyBorder="1" applyAlignment="1">
      <alignment horizontal="left" vertical="center" wrapText="1"/>
      <protection/>
    </xf>
    <xf numFmtId="0" fontId="57" fillId="0" borderId="58" xfId="55" applyFont="1" applyFill="1" applyBorder="1" applyAlignment="1">
      <alignment vertical="center" wrapText="1"/>
      <protection/>
    </xf>
    <xf numFmtId="4" fontId="39" fillId="0" borderId="58" xfId="55" applyNumberFormat="1" applyFont="1" applyFill="1" applyBorder="1" applyAlignment="1">
      <alignment vertical="center" wrapText="1"/>
      <protection/>
    </xf>
    <xf numFmtId="4" fontId="39" fillId="0" borderId="140" xfId="55" applyNumberFormat="1" applyFont="1" applyFill="1" applyBorder="1" applyAlignment="1">
      <alignment vertical="center" wrapText="1"/>
      <protection/>
    </xf>
    <xf numFmtId="0" fontId="41" fillId="0" borderId="33" xfId="55" applyFont="1" applyFill="1" applyBorder="1" applyAlignment="1">
      <alignment vertical="center" wrapText="1"/>
      <protection/>
    </xf>
    <xf numFmtId="4" fontId="39" fillId="0" borderId="33" xfId="55" applyNumberFormat="1" applyFont="1" applyFill="1" applyBorder="1" applyAlignment="1">
      <alignment vertical="center" wrapText="1"/>
      <protection/>
    </xf>
    <xf numFmtId="4" fontId="39" fillId="0" borderId="129" xfId="55" applyNumberFormat="1" applyFont="1" applyFill="1" applyBorder="1" applyAlignment="1">
      <alignment vertical="center" wrapText="1"/>
      <protection/>
    </xf>
    <xf numFmtId="0" fontId="26" fillId="0" borderId="15" xfId="56" applyFont="1" applyFill="1" applyBorder="1" applyAlignment="1">
      <alignment vertical="center"/>
      <protection/>
    </xf>
    <xf numFmtId="0" fontId="26" fillId="0" borderId="16" xfId="56" applyFont="1" applyFill="1" applyBorder="1" applyAlignment="1">
      <alignment vertical="center"/>
      <protection/>
    </xf>
    <xf numFmtId="0" fontId="17" fillId="0" borderId="134" xfId="56" applyFont="1" applyFill="1" applyBorder="1" applyAlignment="1">
      <alignment horizontal="left" vertical="center" wrapText="1"/>
      <protection/>
    </xf>
    <xf numFmtId="0" fontId="17" fillId="0" borderId="70" xfId="56" applyFont="1" applyFill="1" applyBorder="1" applyAlignment="1">
      <alignment horizontal="left" vertical="center" wrapText="1"/>
      <protection/>
    </xf>
    <xf numFmtId="0" fontId="62" fillId="0" borderId="53" xfId="56" applyFont="1" applyFill="1" applyBorder="1" applyAlignment="1">
      <alignment horizontal="left" vertical="center" wrapText="1"/>
      <protection/>
    </xf>
    <xf numFmtId="0" fontId="62" fillId="0" borderId="70" xfId="56" applyFont="1" applyFill="1" applyBorder="1" applyAlignment="1">
      <alignment horizontal="left" vertical="center" wrapText="1"/>
      <protection/>
    </xf>
    <xf numFmtId="0" fontId="56" fillId="0" borderId="141" xfId="56" applyFont="1" applyFill="1" applyBorder="1" applyAlignment="1">
      <alignment horizontal="center" vertical="center"/>
      <protection/>
    </xf>
    <xf numFmtId="0" fontId="56" fillId="0" borderId="71" xfId="56" applyFont="1" applyFill="1" applyBorder="1" applyAlignment="1">
      <alignment horizontal="center" vertical="center"/>
      <protection/>
    </xf>
    <xf numFmtId="4" fontId="18" fillId="0" borderId="129" xfId="56" applyNumberFormat="1" applyFont="1" applyFill="1" applyBorder="1" applyAlignment="1">
      <alignment vertical="center"/>
      <protection/>
    </xf>
    <xf numFmtId="0" fontId="39" fillId="0" borderId="0" xfId="52" applyNumberFormat="1" applyFont="1" applyFill="1" applyBorder="1" applyAlignment="1" applyProtection="1">
      <alignment horizontal="right"/>
      <protection locked="0"/>
    </xf>
    <xf numFmtId="49" fontId="41" fillId="0" borderId="115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49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32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116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44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142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58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41" fillId="0" borderId="33" xfId="52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/>
    </xf>
    <xf numFmtId="4" fontId="41" fillId="0" borderId="58" xfId="52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52" applyNumberFormat="1" applyFont="1" applyFill="1" applyBorder="1" applyAlignment="1" applyProtection="1">
      <alignment horizontal="center" vertical="center" wrapText="1"/>
      <protection locked="0"/>
    </xf>
    <xf numFmtId="4" fontId="41" fillId="0" borderId="33" xfId="52" applyNumberFormat="1" applyFont="1" applyFill="1" applyBorder="1" applyAlignment="1" applyProtection="1">
      <alignment horizontal="center" vertical="center" wrapText="1"/>
      <protection locked="0"/>
    </xf>
    <xf numFmtId="0" fontId="41" fillId="0" borderId="40" xfId="52" applyNumberFormat="1" applyFont="1" applyFill="1" applyBorder="1" applyAlignment="1" applyProtection="1">
      <alignment horizontal="center"/>
      <protection locked="0"/>
    </xf>
    <xf numFmtId="0" fontId="41" fillId="0" borderId="143" xfId="52" applyNumberFormat="1" applyFont="1" applyFill="1" applyBorder="1" applyAlignment="1" applyProtection="1">
      <alignment horizontal="center"/>
      <protection locked="0"/>
    </xf>
    <xf numFmtId="0" fontId="41" fillId="0" borderId="132" xfId="52" applyNumberFormat="1" applyFont="1" applyFill="1" applyBorder="1" applyAlignment="1" applyProtection="1">
      <alignment horizontal="center"/>
      <protection locked="0"/>
    </xf>
    <xf numFmtId="0" fontId="42" fillId="0" borderId="42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104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106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144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105" xfId="52" applyNumberFormat="1" applyFont="1" applyFill="1" applyBorder="1" applyAlignment="1" applyProtection="1">
      <alignment horizontal="center" vertical="center" wrapText="1"/>
      <protection locked="0"/>
    </xf>
    <xf numFmtId="4" fontId="46" fillId="0" borderId="104" xfId="5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49" fontId="48" fillId="0" borderId="102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99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10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45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01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46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47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48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49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50" fillId="0" borderId="100" xfId="52" applyNumberFormat="1" applyFont="1" applyFill="1" applyBorder="1" applyAlignment="1" applyProtection="1">
      <alignment horizontal="center" vertical="center" wrapText="1"/>
      <protection locked="0"/>
    </xf>
    <xf numFmtId="49" fontId="50" fillId="0" borderId="150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09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0" xfId="5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49" fontId="48" fillId="0" borderId="111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1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2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3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4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5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6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7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8" xfId="52" applyNumberFormat="1" applyFont="1" applyFill="1" applyBorder="1" applyAlignment="1" applyProtection="1">
      <alignment horizontal="center" vertical="center" wrapText="1"/>
      <protection locked="0"/>
    </xf>
    <xf numFmtId="49" fontId="48" fillId="0" borderId="159" xfId="52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77" xfId="0" applyNumberFormat="1" applyFont="1" applyFill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7" fillId="0" borderId="72" xfId="57" applyFont="1" applyFill="1" applyBorder="1" applyAlignment="1">
      <alignment horizontal="center"/>
      <protection/>
    </xf>
    <xf numFmtId="0" fontId="17" fillId="0" borderId="14" xfId="57" applyFont="1" applyFill="1" applyBorder="1" applyAlignment="1">
      <alignment horizontal="center"/>
      <protection/>
    </xf>
    <xf numFmtId="0" fontId="17" fillId="0" borderId="50" xfId="57" applyFont="1" applyFill="1" applyBorder="1" applyAlignment="1">
      <alignment horizontal="left"/>
      <protection/>
    </xf>
    <xf numFmtId="0" fontId="17" fillId="0" borderId="82" xfId="57" applyFont="1" applyFill="1" applyBorder="1" applyAlignment="1">
      <alignment horizontal="left"/>
      <protection/>
    </xf>
    <xf numFmtId="0" fontId="17" fillId="0" borderId="15" xfId="57" applyFont="1" applyFill="1" applyBorder="1" applyAlignment="1">
      <alignment horizontal="center" vertical="center"/>
      <protection/>
    </xf>
    <xf numFmtId="0" fontId="17" fillId="0" borderId="13" xfId="57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center"/>
      <protection/>
    </xf>
    <xf numFmtId="0" fontId="17" fillId="0" borderId="50" xfId="57" applyFont="1" applyFill="1" applyBorder="1" applyAlignment="1">
      <alignment horizontal="center"/>
      <protection/>
    </xf>
    <xf numFmtId="0" fontId="17" fillId="0" borderId="12" xfId="57" applyFont="1" applyFill="1" applyBorder="1" applyAlignment="1">
      <alignment horizontal="center"/>
      <protection/>
    </xf>
    <xf numFmtId="0" fontId="18" fillId="0" borderId="116" xfId="0" applyFont="1" applyFill="1" applyBorder="1" applyAlignment="1">
      <alignment horizontal="center" vertical="center"/>
    </xf>
    <xf numFmtId="0" fontId="18" fillId="0" borderId="142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 wrapText="1"/>
    </xf>
    <xf numFmtId="0" fontId="18" fillId="0" borderId="127" xfId="0" applyFont="1" applyFill="1" applyBorder="1" applyAlignment="1">
      <alignment horizontal="center" vertical="center" wrapText="1"/>
    </xf>
    <xf numFmtId="0" fontId="18" fillId="0" borderId="16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39" xfId="0" applyFont="1" applyFill="1" applyBorder="1" applyAlignment="1">
      <alignment horizontal="center" vertical="center" wrapText="1"/>
    </xf>
    <xf numFmtId="0" fontId="19" fillId="0" borderId="161" xfId="0" applyFont="1" applyFill="1" applyBorder="1" applyAlignment="1">
      <alignment horizontal="center" vertical="center"/>
    </xf>
    <xf numFmtId="0" fontId="19" fillId="0" borderId="11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11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40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60" fillId="0" borderId="162" xfId="52" applyNumberFormat="1" applyFont="1" applyFill="1" applyBorder="1" applyAlignment="1" applyProtection="1">
      <alignment horizontal="center" vertical="center" wrapText="1"/>
      <protection locked="0"/>
    </xf>
    <xf numFmtId="49" fontId="60" fillId="0" borderId="163" xfId="52" applyNumberFormat="1" applyFont="1" applyFill="1" applyBorder="1" applyAlignment="1" applyProtection="1">
      <alignment horizontal="center" vertical="center" wrapText="1"/>
      <protection locked="0"/>
    </xf>
    <xf numFmtId="49" fontId="60" fillId="0" borderId="164" xfId="52" applyNumberFormat="1" applyFont="1" applyFill="1" applyBorder="1" applyAlignment="1" applyProtection="1">
      <alignment horizontal="center" vertical="center" wrapText="1"/>
      <protection locked="0"/>
    </xf>
    <xf numFmtId="49" fontId="60" fillId="0" borderId="60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162" xfId="52" applyNumberFormat="1" applyFont="1" applyFill="1" applyBorder="1" applyAlignment="1" applyProtection="1">
      <alignment horizontal="center" vertical="center" wrapText="1"/>
      <protection locked="0"/>
    </xf>
    <xf numFmtId="49" fontId="46" fillId="0" borderId="163" xfId="52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40" fillId="0" borderId="77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56" applyFont="1" applyFill="1" applyBorder="1" applyAlignment="1">
      <alignment horizontal="center" vertical="center"/>
      <protection/>
    </xf>
    <xf numFmtId="0" fontId="18" fillId="0" borderId="129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51" fillId="0" borderId="165" xfId="56" applyFont="1" applyFill="1" applyBorder="1" applyAlignment="1">
      <alignment horizontal="center" vertical="center"/>
      <protection/>
    </xf>
    <xf numFmtId="0" fontId="51" fillId="0" borderId="31" xfId="56" applyFont="1" applyFill="1" applyBorder="1" applyAlignment="1">
      <alignment horizontal="center" vertical="center"/>
      <protection/>
    </xf>
    <xf numFmtId="0" fontId="51" fillId="0" borderId="38" xfId="56" applyFont="1" applyFill="1" applyBorder="1" applyAlignment="1">
      <alignment horizontal="center" vertical="center"/>
      <protection/>
    </xf>
    <xf numFmtId="0" fontId="51" fillId="0" borderId="39" xfId="56" applyFont="1" applyFill="1" applyBorder="1" applyAlignment="1">
      <alignment horizontal="center" vertical="center"/>
      <protection/>
    </xf>
    <xf numFmtId="0" fontId="51" fillId="0" borderId="40" xfId="56" applyFont="1" applyFill="1" applyBorder="1" applyAlignment="1">
      <alignment horizontal="center" vertical="center"/>
      <protection/>
    </xf>
    <xf numFmtId="0" fontId="51" fillId="0" borderId="139" xfId="56" applyFont="1" applyFill="1" applyBorder="1" applyAlignment="1">
      <alignment horizontal="center" vertical="center"/>
      <protection/>
    </xf>
    <xf numFmtId="0" fontId="18" fillId="0" borderId="38" xfId="56" applyFont="1" applyFill="1" applyBorder="1" applyAlignment="1">
      <alignment horizontal="center" vertical="center"/>
      <protection/>
    </xf>
    <xf numFmtId="0" fontId="18" fillId="0" borderId="39" xfId="56" applyFont="1" applyFill="1" applyBorder="1" applyAlignment="1">
      <alignment horizontal="center" vertical="center"/>
      <protection/>
    </xf>
    <xf numFmtId="0" fontId="18" fillId="0" borderId="40" xfId="56" applyFont="1" applyFill="1" applyBorder="1" applyAlignment="1">
      <alignment horizontal="center" vertical="center"/>
      <protection/>
    </xf>
    <xf numFmtId="0" fontId="18" fillId="0" borderId="131" xfId="56" applyFont="1" applyFill="1" applyBorder="1" applyAlignment="1">
      <alignment horizontal="center" vertical="center"/>
      <protection/>
    </xf>
    <xf numFmtId="0" fontId="18" fillId="0" borderId="46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37" xfId="56" applyFont="1" applyFill="1" applyBorder="1" applyAlignment="1">
      <alignment horizontal="center" vertical="center" wrapText="1"/>
      <protection/>
    </xf>
    <xf numFmtId="0" fontId="18" fillId="0" borderId="127" xfId="56" applyFont="1" applyFill="1" applyBorder="1" applyAlignment="1">
      <alignment horizontal="center" vertical="center" wrapText="1"/>
      <protection/>
    </xf>
    <xf numFmtId="0" fontId="18" fillId="0" borderId="136" xfId="56" applyFont="1" applyFill="1" applyBorder="1" applyAlignment="1">
      <alignment horizontal="center" vertical="center"/>
      <protection/>
    </xf>
    <xf numFmtId="0" fontId="18" fillId="0" borderId="138" xfId="56" applyFont="1" applyFill="1" applyBorder="1" applyAlignment="1">
      <alignment horizontal="center" vertical="center"/>
      <protection/>
    </xf>
    <xf numFmtId="0" fontId="18" fillId="0" borderId="34" xfId="56" applyFont="1" applyFill="1" applyBorder="1" applyAlignment="1">
      <alignment horizontal="center" vertical="center"/>
      <protection/>
    </xf>
    <xf numFmtId="0" fontId="18" fillId="0" borderId="29" xfId="56" applyFont="1" applyFill="1" applyBorder="1" applyAlignment="1">
      <alignment horizontal="center" vertical="center"/>
      <protection/>
    </xf>
    <xf numFmtId="0" fontId="18" fillId="0" borderId="35" xfId="56" applyFont="1" applyFill="1" applyBorder="1" applyAlignment="1">
      <alignment horizontal="center" vertical="center"/>
      <protection/>
    </xf>
    <xf numFmtId="0" fontId="18" fillId="0" borderId="27" xfId="56" applyFont="1" applyFill="1" applyBorder="1" applyAlignment="1">
      <alignment horizontal="center" vertical="center" wrapText="1"/>
      <protection/>
    </xf>
    <xf numFmtId="0" fontId="18" fillId="0" borderId="129" xfId="56" applyFont="1" applyFill="1" applyBorder="1" applyAlignment="1">
      <alignment horizontal="center" vertical="center" wrapText="1"/>
      <protection/>
    </xf>
    <xf numFmtId="0" fontId="18" fillId="0" borderId="15" xfId="56" applyFont="1" applyFill="1" applyBorder="1" applyAlignment="1">
      <alignment horizontal="center" vertical="center"/>
      <protection/>
    </xf>
    <xf numFmtId="0" fontId="18" fillId="0" borderId="33" xfId="56" applyFont="1" applyFill="1" applyBorder="1" applyAlignment="1">
      <alignment horizontal="center" vertical="center"/>
      <protection/>
    </xf>
    <xf numFmtId="0" fontId="18" fillId="0" borderId="41" xfId="56" applyFont="1" applyFill="1" applyBorder="1" applyAlignment="1">
      <alignment horizontal="center" vertical="center" wrapText="1"/>
      <protection/>
    </xf>
    <xf numFmtId="0" fontId="18" fillId="0" borderId="166" xfId="56" applyFont="1" applyFill="1" applyBorder="1" applyAlignment="1">
      <alignment horizontal="center" vertical="center" wrapText="1"/>
      <protection/>
    </xf>
    <xf numFmtId="0" fontId="57" fillId="0" borderId="167" xfId="55" applyFont="1" applyFill="1" applyBorder="1" applyAlignment="1">
      <alignment horizontal="center" vertical="center"/>
      <protection/>
    </xf>
    <xf numFmtId="0" fontId="57" fillId="0" borderId="119" xfId="55" applyFont="1" applyFill="1" applyBorder="1" applyAlignment="1">
      <alignment horizontal="center" vertical="center"/>
      <protection/>
    </xf>
    <xf numFmtId="0" fontId="57" fillId="0" borderId="168" xfId="55" applyFont="1" applyFill="1" applyBorder="1" applyAlignment="1">
      <alignment horizontal="center" vertical="center"/>
      <protection/>
    </xf>
    <xf numFmtId="0" fontId="57" fillId="0" borderId="115" xfId="55" applyFont="1" applyFill="1" applyBorder="1" applyAlignment="1">
      <alignment horizontal="center" vertical="center"/>
      <protection/>
    </xf>
    <xf numFmtId="0" fontId="57" fillId="0" borderId="49" xfId="55" applyFont="1" applyFill="1" applyBorder="1" applyAlignment="1">
      <alignment horizontal="center" vertical="center"/>
      <protection/>
    </xf>
    <xf numFmtId="0" fontId="57" fillId="0" borderId="32" xfId="55" applyFont="1" applyFill="1" applyBorder="1" applyAlignment="1">
      <alignment horizontal="center" vertical="center"/>
      <protection/>
    </xf>
    <xf numFmtId="0" fontId="55" fillId="0" borderId="167" xfId="55" applyFont="1" applyFill="1" applyBorder="1" applyAlignment="1">
      <alignment horizontal="center" vertical="center"/>
      <protection/>
    </xf>
    <xf numFmtId="0" fontId="55" fillId="0" borderId="119" xfId="55" applyFont="1" applyFill="1" applyBorder="1" applyAlignment="1">
      <alignment horizontal="center" vertical="center"/>
      <protection/>
    </xf>
    <xf numFmtId="0" fontId="55" fillId="0" borderId="168" xfId="55" applyFont="1" applyFill="1" applyBorder="1" applyAlignment="1">
      <alignment horizontal="center" vertical="center"/>
      <protection/>
    </xf>
    <xf numFmtId="0" fontId="43" fillId="0" borderId="161" xfId="55" applyFont="1" applyFill="1" applyBorder="1" applyAlignment="1">
      <alignment horizontal="center" vertical="center"/>
      <protection/>
    </xf>
    <xf numFmtId="0" fontId="43" fillId="0" borderId="169" xfId="55" applyFont="1" applyFill="1" applyBorder="1" applyAlignment="1">
      <alignment horizontal="center" vertical="center"/>
      <protection/>
    </xf>
    <xf numFmtId="4" fontId="57" fillId="0" borderId="22" xfId="55" applyNumberFormat="1" applyFont="1" applyFill="1" applyBorder="1" applyAlignment="1">
      <alignment horizontal="center"/>
      <protection/>
    </xf>
    <xf numFmtId="0" fontId="27" fillId="0" borderId="29" xfId="55" applyFont="1" applyFill="1" applyBorder="1" applyAlignment="1">
      <alignment horizontal="center" vertical="center"/>
      <protection/>
    </xf>
    <xf numFmtId="0" fontId="57" fillId="0" borderId="115" xfId="55" applyFont="1" applyFill="1" applyBorder="1" applyAlignment="1">
      <alignment horizontal="center" vertical="center" wrapText="1"/>
      <protection/>
    </xf>
    <xf numFmtId="0" fontId="57" fillId="0" borderId="49" xfId="55" applyFont="1" applyFill="1" applyBorder="1" applyAlignment="1">
      <alignment horizontal="center" vertical="center" wrapText="1"/>
      <protection/>
    </xf>
    <xf numFmtId="0" fontId="57" fillId="0" borderId="32" xfId="55" applyFont="1" applyFill="1" applyBorder="1" applyAlignment="1">
      <alignment horizontal="center" vertical="center" wrapText="1"/>
      <protection/>
    </xf>
    <xf numFmtId="0" fontId="27" fillId="0" borderId="34" xfId="55" applyFont="1" applyFill="1" applyBorder="1" applyAlignment="1">
      <alignment horizontal="center" vertical="center"/>
      <protection/>
    </xf>
    <xf numFmtId="0" fontId="55" fillId="0" borderId="115" xfId="55" applyFont="1" applyFill="1" applyBorder="1" applyAlignment="1">
      <alignment horizontal="center" vertical="center"/>
      <protection/>
    </xf>
    <xf numFmtId="0" fontId="55" fillId="0" borderId="49" xfId="55" applyFont="1" applyFill="1" applyBorder="1" applyAlignment="1">
      <alignment horizontal="center" vertical="center"/>
      <protection/>
    </xf>
    <xf numFmtId="0" fontId="55" fillId="0" borderId="32" xfId="55" applyFont="1" applyFill="1" applyBorder="1" applyAlignment="1">
      <alignment horizontal="center" vertical="center"/>
      <protection/>
    </xf>
    <xf numFmtId="0" fontId="56" fillId="0" borderId="27" xfId="55" applyFont="1" applyFill="1" applyBorder="1" applyAlignment="1">
      <alignment horizontal="center" vertical="center" wrapText="1"/>
      <protection/>
    </xf>
    <xf numFmtId="0" fontId="56" fillId="0" borderId="56" xfId="55" applyFont="1" applyFill="1" applyBorder="1" applyAlignment="1">
      <alignment horizontal="center" vertical="center" wrapText="1"/>
      <protection/>
    </xf>
    <xf numFmtId="0" fontId="56" fillId="0" borderId="37" xfId="55" applyFont="1" applyFill="1" applyBorder="1" applyAlignment="1">
      <alignment horizontal="center" vertical="center" wrapText="1"/>
      <protection/>
    </xf>
    <xf numFmtId="0" fontId="56" fillId="0" borderId="15" xfId="55" applyFont="1" applyFill="1" applyBorder="1" applyAlignment="1">
      <alignment horizontal="center" vertical="center" wrapText="1"/>
      <protection/>
    </xf>
    <xf numFmtId="0" fontId="56" fillId="0" borderId="16" xfId="55" applyFont="1" applyFill="1" applyBorder="1" applyAlignment="1">
      <alignment horizontal="center" vertical="center" wrapText="1"/>
      <protection/>
    </xf>
    <xf numFmtId="0" fontId="56" fillId="0" borderId="13" xfId="55" applyFont="1" applyFill="1" applyBorder="1" applyAlignment="1">
      <alignment horizontal="center" vertical="center" wrapText="1"/>
      <protection/>
    </xf>
    <xf numFmtId="0" fontId="56" fillId="0" borderId="11" xfId="55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56" fillId="0" borderId="38" xfId="55" applyFont="1" applyFill="1" applyBorder="1" applyAlignment="1">
      <alignment horizontal="center" vertical="center"/>
      <protection/>
    </xf>
    <xf numFmtId="0" fontId="56" fillId="0" borderId="46" xfId="55" applyFont="1" applyFill="1" applyBorder="1" applyAlignment="1">
      <alignment horizontal="center" vertical="center"/>
      <protection/>
    </xf>
    <xf numFmtId="0" fontId="56" fillId="0" borderId="39" xfId="55" applyFont="1" applyFill="1" applyBorder="1" applyAlignment="1">
      <alignment horizontal="center" vertical="center"/>
      <protection/>
    </xf>
    <xf numFmtId="0" fontId="56" fillId="0" borderId="11" xfId="55" applyFont="1" applyFill="1" applyBorder="1" applyAlignment="1">
      <alignment horizontal="center" vertical="center"/>
      <protection/>
    </xf>
    <xf numFmtId="0" fontId="56" fillId="0" borderId="39" xfId="55" applyFont="1" applyFill="1" applyBorder="1" applyAlignment="1">
      <alignment horizontal="center" vertical="center" wrapText="1"/>
      <protection/>
    </xf>
    <xf numFmtId="0" fontId="19" fillId="0" borderId="39" xfId="55" applyFont="1" applyFill="1" applyBorder="1" applyAlignment="1">
      <alignment horizontal="center" vertical="center" wrapText="1"/>
      <protection/>
    </xf>
    <xf numFmtId="0" fontId="19" fillId="0" borderId="39" xfId="55" applyFont="1" applyFill="1" applyBorder="1" applyAlignment="1">
      <alignment horizontal="center" vertical="center"/>
      <protection/>
    </xf>
    <xf numFmtId="0" fontId="19" fillId="0" borderId="139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2010-WYDZIAŁY" xfId="53"/>
    <cellStyle name="Normalny_RP31.05.2007" xfId="54"/>
    <cellStyle name="Normalny_zal_Szczecin" xfId="55"/>
    <cellStyle name="Normalny_Załączniki do projektu na 2008 r- autopoprawki RIO" xfId="56"/>
    <cellStyle name="Normalny_Zeszyt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7">
      <pane ySplit="1830" topLeftCell="A118" activePane="bottomLeft" state="split"/>
      <selection pane="topLeft" activeCell="A7" sqref="A1:IV16384"/>
      <selection pane="bottomLeft" activeCell="F91" sqref="F91"/>
    </sheetView>
  </sheetViews>
  <sheetFormatPr defaultColWidth="9.00390625" defaultRowHeight="12.75"/>
  <cols>
    <col min="1" max="1" width="8.75390625" style="149" customWidth="1"/>
    <col min="2" max="2" width="9.875" style="149" customWidth="1"/>
    <col min="3" max="3" width="10.875" style="149" customWidth="1"/>
    <col min="4" max="4" width="54.625" style="149" hidden="1" customWidth="1"/>
    <col min="5" max="5" width="11.125" style="149" customWidth="1"/>
    <col min="6" max="6" width="15.375" style="149" customWidth="1"/>
    <col min="7" max="7" width="8.875" style="149" customWidth="1"/>
    <col min="8" max="8" width="12.125" style="149" customWidth="1"/>
    <col min="9" max="9" width="12.00390625" style="149" customWidth="1"/>
    <col min="10" max="10" width="11.25390625" style="149" customWidth="1"/>
    <col min="11" max="12" width="10.375" style="149" customWidth="1"/>
    <col min="13" max="13" width="12.25390625" style="149" customWidth="1"/>
    <col min="14" max="14" width="12.00390625" style="149" customWidth="1"/>
    <col min="15" max="15" width="11.875" style="149" customWidth="1"/>
    <col min="16" max="16384" width="9.125" style="149" customWidth="1"/>
  </cols>
  <sheetData>
    <row r="1" spans="11:15" ht="12.75">
      <c r="K1" s="777" t="s">
        <v>111</v>
      </c>
      <c r="L1" s="777"/>
      <c r="M1" s="777"/>
      <c r="N1" s="777"/>
      <c r="O1" s="777"/>
    </row>
    <row r="2" spans="1:15" ht="20.25" customHeight="1">
      <c r="A2" s="788" t="s">
        <v>74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</row>
    <row r="3" spans="1:15" ht="20.25" customHeight="1">
      <c r="A3" s="788" t="s">
        <v>637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</row>
    <row r="4" spans="1:15" ht="18.75">
      <c r="A4" s="483"/>
      <c r="B4" s="483"/>
      <c r="C4" s="483"/>
      <c r="D4" s="483"/>
      <c r="E4" s="483"/>
      <c r="F4" s="483"/>
      <c r="K4" s="484"/>
      <c r="L4" s="484"/>
      <c r="M4" s="484"/>
      <c r="N4" s="484"/>
      <c r="O4" s="484"/>
    </row>
    <row r="5" spans="1:15" ht="15" customHeight="1">
      <c r="A5" s="485" t="s">
        <v>167</v>
      </c>
      <c r="B5" s="483"/>
      <c r="C5" s="483"/>
      <c r="D5" s="483"/>
      <c r="E5" s="483"/>
      <c r="F5" s="483"/>
      <c r="K5" s="484"/>
      <c r="L5" s="484"/>
      <c r="M5" s="484"/>
      <c r="N5" s="484"/>
      <c r="O5" s="484"/>
    </row>
    <row r="6" spans="1:15" ht="15.75" customHeight="1" thickBot="1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</row>
    <row r="7" spans="1:15" ht="13.5" thickTop="1">
      <c r="A7" s="778" t="s">
        <v>131</v>
      </c>
      <c r="B7" s="781" t="s">
        <v>132</v>
      </c>
      <c r="C7" s="784" t="s">
        <v>119</v>
      </c>
      <c r="D7" s="487"/>
      <c r="E7" s="784" t="s">
        <v>121</v>
      </c>
      <c r="F7" s="784" t="s">
        <v>253</v>
      </c>
      <c r="G7" s="789" t="s">
        <v>13</v>
      </c>
      <c r="H7" s="792" t="s">
        <v>254</v>
      </c>
      <c r="I7" s="793"/>
      <c r="J7" s="793"/>
      <c r="K7" s="793"/>
      <c r="L7" s="793"/>
      <c r="M7" s="793"/>
      <c r="N7" s="793"/>
      <c r="O7" s="794"/>
    </row>
    <row r="8" spans="1:15" ht="22.5" customHeight="1">
      <c r="A8" s="779"/>
      <c r="B8" s="782"/>
      <c r="C8" s="785"/>
      <c r="D8" s="488"/>
      <c r="E8" s="785"/>
      <c r="F8" s="785"/>
      <c r="G8" s="790"/>
      <c r="H8" s="787" t="s">
        <v>255</v>
      </c>
      <c r="I8" s="787"/>
      <c r="J8" s="787"/>
      <c r="K8" s="787"/>
      <c r="L8" s="787" t="s">
        <v>256</v>
      </c>
      <c r="M8" s="787"/>
      <c r="N8" s="787"/>
      <c r="O8" s="795"/>
    </row>
    <row r="9" spans="1:15" ht="42.75" customHeight="1" thickBot="1">
      <c r="A9" s="780"/>
      <c r="B9" s="783"/>
      <c r="C9" s="786"/>
      <c r="D9" s="489" t="s">
        <v>257</v>
      </c>
      <c r="E9" s="786"/>
      <c r="F9" s="786"/>
      <c r="G9" s="791"/>
      <c r="H9" s="490" t="s">
        <v>258</v>
      </c>
      <c r="I9" s="490" t="s">
        <v>259</v>
      </c>
      <c r="J9" s="490" t="s">
        <v>260</v>
      </c>
      <c r="K9" s="490" t="s">
        <v>261</v>
      </c>
      <c r="L9" s="490" t="s">
        <v>271</v>
      </c>
      <c r="M9" s="491" t="s">
        <v>267</v>
      </c>
      <c r="N9" s="490" t="s">
        <v>266</v>
      </c>
      <c r="O9" s="492" t="s">
        <v>261</v>
      </c>
    </row>
    <row r="10" spans="1:15" ht="16.5" customHeight="1" thickTop="1">
      <c r="A10" s="493" t="s">
        <v>31</v>
      </c>
      <c r="B10" s="493"/>
      <c r="C10" s="493"/>
      <c r="D10" s="494"/>
      <c r="E10" s="495">
        <f>E11</f>
        <v>53600</v>
      </c>
      <c r="F10" s="495">
        <f>F11</f>
        <v>53600</v>
      </c>
      <c r="G10" s="495">
        <f aca="true" t="shared" si="0" ref="G10:G17">F10/E10*100</f>
        <v>100</v>
      </c>
      <c r="H10" s="495">
        <f aca="true" t="shared" si="1" ref="H10:O10">H11</f>
        <v>0</v>
      </c>
      <c r="I10" s="495">
        <f t="shared" si="1"/>
        <v>0</v>
      </c>
      <c r="J10" s="495">
        <f t="shared" si="1"/>
        <v>0</v>
      </c>
      <c r="K10" s="495">
        <f t="shared" si="1"/>
        <v>0</v>
      </c>
      <c r="L10" s="495">
        <f t="shared" si="1"/>
        <v>0</v>
      </c>
      <c r="M10" s="495">
        <f t="shared" si="1"/>
        <v>0</v>
      </c>
      <c r="N10" s="495">
        <f t="shared" si="1"/>
        <v>53600</v>
      </c>
      <c r="O10" s="495">
        <f t="shared" si="1"/>
        <v>0</v>
      </c>
    </row>
    <row r="11" spans="1:15" ht="16.5" customHeight="1">
      <c r="A11" s="496"/>
      <c r="B11" s="493" t="s">
        <v>536</v>
      </c>
      <c r="C11" s="493"/>
      <c r="D11" s="494"/>
      <c r="E11" s="495">
        <f>SUM(E12:E12)</f>
        <v>53600</v>
      </c>
      <c r="F11" s="495">
        <f>SUM(F12:F12)</f>
        <v>53600</v>
      </c>
      <c r="G11" s="495">
        <f t="shared" si="0"/>
        <v>100</v>
      </c>
      <c r="H11" s="495">
        <f aca="true" t="shared" si="2" ref="H11:O11">SUM(H12:H12)</f>
        <v>0</v>
      </c>
      <c r="I11" s="495">
        <f t="shared" si="2"/>
        <v>0</v>
      </c>
      <c r="J11" s="495">
        <f t="shared" si="2"/>
        <v>0</v>
      </c>
      <c r="K11" s="495">
        <f t="shared" si="2"/>
        <v>0</v>
      </c>
      <c r="L11" s="495">
        <f t="shared" si="2"/>
        <v>0</v>
      </c>
      <c r="M11" s="495">
        <f t="shared" si="2"/>
        <v>0</v>
      </c>
      <c r="N11" s="495">
        <f t="shared" si="2"/>
        <v>53600</v>
      </c>
      <c r="O11" s="495">
        <f t="shared" si="2"/>
        <v>0</v>
      </c>
    </row>
    <row r="12" spans="1:15" ht="16.5" customHeight="1">
      <c r="A12" s="497"/>
      <c r="B12" s="498"/>
      <c r="C12" s="499" t="s">
        <v>459</v>
      </c>
      <c r="D12" s="500"/>
      <c r="E12" s="501">
        <v>53600</v>
      </c>
      <c r="F12" s="501">
        <f>SUM(H12:O12)</f>
        <v>53600</v>
      </c>
      <c r="G12" s="501">
        <f t="shared" si="0"/>
        <v>100</v>
      </c>
      <c r="H12" s="501">
        <v>0</v>
      </c>
      <c r="I12" s="501">
        <v>0</v>
      </c>
      <c r="J12" s="501">
        <v>0</v>
      </c>
      <c r="K12" s="501">
        <v>0</v>
      </c>
      <c r="L12" s="501">
        <v>0</v>
      </c>
      <c r="M12" s="501">
        <v>0</v>
      </c>
      <c r="N12" s="501">
        <v>53600</v>
      </c>
      <c r="O12" s="501">
        <v>0</v>
      </c>
    </row>
    <row r="13" spans="1:15" ht="16.5" customHeight="1">
      <c r="A13" s="493" t="s">
        <v>14</v>
      </c>
      <c r="B13" s="493"/>
      <c r="C13" s="502"/>
      <c r="D13" s="503" t="s">
        <v>32</v>
      </c>
      <c r="E13" s="504">
        <f>E14</f>
        <v>83000</v>
      </c>
      <c r="F13" s="504">
        <f>F14</f>
        <v>80602.08</v>
      </c>
      <c r="G13" s="495">
        <f t="shared" si="0"/>
        <v>97.11093975903614</v>
      </c>
      <c r="H13" s="504">
        <f aca="true" t="shared" si="3" ref="H13:O13">H14</f>
        <v>80602.08</v>
      </c>
      <c r="I13" s="504">
        <f t="shared" si="3"/>
        <v>0</v>
      </c>
      <c r="J13" s="504">
        <f t="shared" si="3"/>
        <v>0</v>
      </c>
      <c r="K13" s="504">
        <f t="shared" si="3"/>
        <v>0</v>
      </c>
      <c r="L13" s="504">
        <f t="shared" si="3"/>
        <v>0</v>
      </c>
      <c r="M13" s="504">
        <f t="shared" si="3"/>
        <v>0</v>
      </c>
      <c r="N13" s="504">
        <f t="shared" si="3"/>
        <v>0</v>
      </c>
      <c r="O13" s="504">
        <f t="shared" si="3"/>
        <v>0</v>
      </c>
    </row>
    <row r="14" spans="1:15" s="150" customFormat="1" ht="16.5" customHeight="1">
      <c r="A14" s="505"/>
      <c r="B14" s="493" t="s">
        <v>73</v>
      </c>
      <c r="C14" s="506"/>
      <c r="D14" s="494" t="s">
        <v>72</v>
      </c>
      <c r="E14" s="495">
        <f>SUM(E15:E15)</f>
        <v>83000</v>
      </c>
      <c r="F14" s="495">
        <f>SUM(F15:F15)</f>
        <v>80602.08</v>
      </c>
      <c r="G14" s="495">
        <f t="shared" si="0"/>
        <v>97.11093975903614</v>
      </c>
      <c r="H14" s="495">
        <f aca="true" t="shared" si="4" ref="H14:O14">SUM(H15:H15)</f>
        <v>80602.08</v>
      </c>
      <c r="I14" s="495">
        <f t="shared" si="4"/>
        <v>0</v>
      </c>
      <c r="J14" s="495">
        <f t="shared" si="4"/>
        <v>0</v>
      </c>
      <c r="K14" s="495">
        <f t="shared" si="4"/>
        <v>0</v>
      </c>
      <c r="L14" s="495">
        <f t="shared" si="4"/>
        <v>0</v>
      </c>
      <c r="M14" s="495">
        <f t="shared" si="4"/>
        <v>0</v>
      </c>
      <c r="N14" s="495">
        <f t="shared" si="4"/>
        <v>0</v>
      </c>
      <c r="O14" s="495">
        <f t="shared" si="4"/>
        <v>0</v>
      </c>
    </row>
    <row r="15" spans="1:15" ht="16.5" customHeight="1">
      <c r="A15" s="497"/>
      <c r="B15" s="507"/>
      <c r="C15" s="499" t="s">
        <v>84</v>
      </c>
      <c r="D15" s="500" t="s">
        <v>262</v>
      </c>
      <c r="E15" s="501">
        <v>83000</v>
      </c>
      <c r="F15" s="501">
        <f>SUM(H15:O15)</f>
        <v>80602.08</v>
      </c>
      <c r="G15" s="501">
        <f t="shared" si="0"/>
        <v>97.11093975903614</v>
      </c>
      <c r="H15" s="501">
        <v>80602.08</v>
      </c>
      <c r="I15" s="501">
        <v>0</v>
      </c>
      <c r="J15" s="501">
        <v>0</v>
      </c>
      <c r="K15" s="501">
        <v>0</v>
      </c>
      <c r="L15" s="501">
        <v>0</v>
      </c>
      <c r="M15" s="501">
        <v>0</v>
      </c>
      <c r="N15" s="501">
        <v>0</v>
      </c>
      <c r="O15" s="501">
        <v>0</v>
      </c>
    </row>
    <row r="16" spans="1:15" s="150" customFormat="1" ht="16.5" customHeight="1">
      <c r="A16" s="493" t="s">
        <v>15</v>
      </c>
      <c r="B16" s="493"/>
      <c r="C16" s="493"/>
      <c r="D16" s="494"/>
      <c r="E16" s="495">
        <f>E17</f>
        <v>2618317</v>
      </c>
      <c r="F16" s="495">
        <f>F17</f>
        <v>2619667.27</v>
      </c>
      <c r="G16" s="501">
        <f t="shared" si="0"/>
        <v>100.05157014983288</v>
      </c>
      <c r="H16" s="495">
        <f aca="true" t="shared" si="5" ref="H16:O16">H17</f>
        <v>4513.7</v>
      </c>
      <c r="I16" s="495">
        <f t="shared" si="5"/>
        <v>0</v>
      </c>
      <c r="J16" s="495">
        <f t="shared" si="5"/>
        <v>0</v>
      </c>
      <c r="K16" s="495">
        <f t="shared" si="5"/>
        <v>0</v>
      </c>
      <c r="L16" s="495">
        <f t="shared" si="5"/>
        <v>0</v>
      </c>
      <c r="M16" s="495">
        <f t="shared" si="5"/>
        <v>0</v>
      </c>
      <c r="N16" s="495">
        <f t="shared" si="5"/>
        <v>2615153.57</v>
      </c>
      <c r="O16" s="495">
        <f t="shared" si="5"/>
        <v>0</v>
      </c>
    </row>
    <row r="17" spans="1:15" s="150" customFormat="1" ht="16.5" customHeight="1">
      <c r="A17" s="496"/>
      <c r="B17" s="493" t="s">
        <v>16</v>
      </c>
      <c r="C17" s="493"/>
      <c r="D17" s="494"/>
      <c r="E17" s="495">
        <f>SUM(E18:E21)</f>
        <v>2618317</v>
      </c>
      <c r="F17" s="495">
        <f>SUM(F18:F21)</f>
        <v>2619667.27</v>
      </c>
      <c r="G17" s="495">
        <f t="shared" si="0"/>
        <v>100.05157014983288</v>
      </c>
      <c r="H17" s="495">
        <f aca="true" t="shared" si="6" ref="H17:O17">SUM(H18:H21)</f>
        <v>4513.7</v>
      </c>
      <c r="I17" s="495">
        <f t="shared" si="6"/>
        <v>0</v>
      </c>
      <c r="J17" s="495">
        <f t="shared" si="6"/>
        <v>0</v>
      </c>
      <c r="K17" s="495">
        <f t="shared" si="6"/>
        <v>0</v>
      </c>
      <c r="L17" s="495">
        <f t="shared" si="6"/>
        <v>0</v>
      </c>
      <c r="M17" s="495">
        <f t="shared" si="6"/>
        <v>0</v>
      </c>
      <c r="N17" s="495">
        <f t="shared" si="6"/>
        <v>2615153.57</v>
      </c>
      <c r="O17" s="495">
        <f t="shared" si="6"/>
        <v>0</v>
      </c>
    </row>
    <row r="18" spans="1:15" ht="16.5" customHeight="1">
      <c r="A18" s="497"/>
      <c r="B18" s="498"/>
      <c r="C18" s="499" t="s">
        <v>171</v>
      </c>
      <c r="D18" s="500"/>
      <c r="E18" s="501">
        <f>2800</f>
        <v>2800</v>
      </c>
      <c r="F18" s="501">
        <f>SUM(H18:O18)</f>
        <v>4061.5</v>
      </c>
      <c r="G18" s="501">
        <f aca="true" t="shared" si="7" ref="G18:G25">F18/E18*100</f>
        <v>145.05357142857142</v>
      </c>
      <c r="H18" s="501">
        <v>4061.5</v>
      </c>
      <c r="I18" s="501">
        <v>0</v>
      </c>
      <c r="J18" s="501">
        <v>0</v>
      </c>
      <c r="K18" s="501">
        <v>0</v>
      </c>
      <c r="L18" s="501">
        <v>0</v>
      </c>
      <c r="M18" s="501">
        <v>0</v>
      </c>
      <c r="N18" s="501">
        <v>0</v>
      </c>
      <c r="O18" s="501">
        <v>0</v>
      </c>
    </row>
    <row r="19" spans="1:15" ht="16.5" customHeight="1">
      <c r="A19" s="497"/>
      <c r="B19" s="498"/>
      <c r="C19" s="499" t="s">
        <v>89</v>
      </c>
      <c r="D19" s="500"/>
      <c r="E19" s="501">
        <f>400</f>
        <v>400</v>
      </c>
      <c r="F19" s="501">
        <f>SUM(H19:O19)</f>
        <v>452.2</v>
      </c>
      <c r="G19" s="501">
        <f>F19/E19*100</f>
        <v>113.05000000000001</v>
      </c>
      <c r="H19" s="501">
        <v>452.2</v>
      </c>
      <c r="I19" s="501">
        <v>0</v>
      </c>
      <c r="J19" s="501">
        <v>0</v>
      </c>
      <c r="K19" s="501">
        <v>0</v>
      </c>
      <c r="L19" s="501">
        <v>0</v>
      </c>
      <c r="M19" s="501">
        <v>0</v>
      </c>
      <c r="N19" s="501">
        <v>0</v>
      </c>
      <c r="O19" s="501">
        <v>0</v>
      </c>
    </row>
    <row r="20" spans="1:15" ht="16.5" customHeight="1">
      <c r="A20" s="497"/>
      <c r="B20" s="498"/>
      <c r="C20" s="499" t="s">
        <v>143</v>
      </c>
      <c r="D20" s="500"/>
      <c r="E20" s="501">
        <f>884975</f>
        <v>884975</v>
      </c>
      <c r="F20" s="501">
        <f>SUM(H20:O20)</f>
        <v>885011.57</v>
      </c>
      <c r="G20" s="501">
        <f>F20/E20*100</f>
        <v>100.00413232012204</v>
      </c>
      <c r="H20" s="501">
        <v>0</v>
      </c>
      <c r="I20" s="501">
        <v>0</v>
      </c>
      <c r="J20" s="501">
        <v>0</v>
      </c>
      <c r="K20" s="501">
        <v>0</v>
      </c>
      <c r="L20" s="501">
        <v>0</v>
      </c>
      <c r="M20" s="501">
        <v>0</v>
      </c>
      <c r="N20" s="501">
        <v>885011.57</v>
      </c>
      <c r="O20" s="501">
        <v>0</v>
      </c>
    </row>
    <row r="21" spans="1:15" ht="16.5" customHeight="1">
      <c r="A21" s="497"/>
      <c r="B21" s="498"/>
      <c r="C21" s="499" t="s">
        <v>174</v>
      </c>
      <c r="D21" s="500"/>
      <c r="E21" s="501">
        <v>1730142</v>
      </c>
      <c r="F21" s="501">
        <f>SUM(H21:O21)</f>
        <v>1730142</v>
      </c>
      <c r="G21" s="501">
        <f t="shared" si="7"/>
        <v>100</v>
      </c>
      <c r="H21" s="501">
        <v>0</v>
      </c>
      <c r="I21" s="501">
        <v>0</v>
      </c>
      <c r="J21" s="501">
        <v>0</v>
      </c>
      <c r="K21" s="501">
        <v>0</v>
      </c>
      <c r="L21" s="501">
        <v>0</v>
      </c>
      <c r="M21" s="501">
        <v>0</v>
      </c>
      <c r="N21" s="501">
        <v>1730142</v>
      </c>
      <c r="O21" s="501">
        <v>0</v>
      </c>
    </row>
    <row r="22" spans="1:15" s="150" customFormat="1" ht="16.5" customHeight="1">
      <c r="A22" s="493" t="s">
        <v>17</v>
      </c>
      <c r="B22" s="493"/>
      <c r="C22" s="493"/>
      <c r="D22" s="494"/>
      <c r="E22" s="495">
        <f>E23</f>
        <v>732402</v>
      </c>
      <c r="F22" s="495">
        <f>F23</f>
        <v>857271.1900000002</v>
      </c>
      <c r="G22" s="495">
        <f t="shared" si="7"/>
        <v>117.04926939030753</v>
      </c>
      <c r="H22" s="495">
        <f aca="true" t="shared" si="8" ref="H22:O22">H23</f>
        <v>681870.5</v>
      </c>
      <c r="I22" s="495">
        <f t="shared" si="8"/>
        <v>0</v>
      </c>
      <c r="J22" s="495">
        <f t="shared" si="8"/>
        <v>0</v>
      </c>
      <c r="K22" s="495">
        <f t="shared" si="8"/>
        <v>0</v>
      </c>
      <c r="L22" s="495">
        <f t="shared" si="8"/>
        <v>0</v>
      </c>
      <c r="M22" s="495">
        <f t="shared" si="8"/>
        <v>175400.69</v>
      </c>
      <c r="N22" s="495">
        <f t="shared" si="8"/>
        <v>0</v>
      </c>
      <c r="O22" s="495">
        <f t="shared" si="8"/>
        <v>0</v>
      </c>
    </row>
    <row r="23" spans="1:15" s="150" customFormat="1" ht="16.5" customHeight="1">
      <c r="A23" s="496"/>
      <c r="B23" s="493" t="s">
        <v>18</v>
      </c>
      <c r="C23" s="493"/>
      <c r="D23" s="494"/>
      <c r="E23" s="495">
        <f>SUM(E24:E29)</f>
        <v>732402</v>
      </c>
      <c r="F23" s="495">
        <f>SUM(F24:F29)</f>
        <v>857271.1900000002</v>
      </c>
      <c r="G23" s="495">
        <f t="shared" si="7"/>
        <v>117.04926939030753</v>
      </c>
      <c r="H23" s="495">
        <f aca="true" t="shared" si="9" ref="H23:O23">SUM(H24:H29)</f>
        <v>681870.5</v>
      </c>
      <c r="I23" s="495">
        <f t="shared" si="9"/>
        <v>0</v>
      </c>
      <c r="J23" s="495">
        <f t="shared" si="9"/>
        <v>0</v>
      </c>
      <c r="K23" s="495">
        <f t="shared" si="9"/>
        <v>0</v>
      </c>
      <c r="L23" s="495">
        <f t="shared" si="9"/>
        <v>0</v>
      </c>
      <c r="M23" s="495">
        <f t="shared" si="9"/>
        <v>175400.69</v>
      </c>
      <c r="N23" s="495">
        <f t="shared" si="9"/>
        <v>0</v>
      </c>
      <c r="O23" s="495">
        <f t="shared" si="9"/>
        <v>0</v>
      </c>
    </row>
    <row r="24" spans="1:15" ht="16.5" customHeight="1">
      <c r="A24" s="497"/>
      <c r="B24" s="498"/>
      <c r="C24" s="499" t="s">
        <v>108</v>
      </c>
      <c r="D24" s="500"/>
      <c r="E24" s="501">
        <v>700</v>
      </c>
      <c r="F24" s="501">
        <f aca="true" t="shared" si="10" ref="F24:F29">SUM(H24:O24)</f>
        <v>327.24</v>
      </c>
      <c r="G24" s="501">
        <f t="shared" si="7"/>
        <v>46.74857142857143</v>
      </c>
      <c r="H24" s="501">
        <v>327.24</v>
      </c>
      <c r="I24" s="501">
        <v>0</v>
      </c>
      <c r="J24" s="501">
        <v>0</v>
      </c>
      <c r="K24" s="501">
        <v>0</v>
      </c>
      <c r="L24" s="501">
        <v>0</v>
      </c>
      <c r="M24" s="501">
        <v>0</v>
      </c>
      <c r="N24" s="501">
        <v>0</v>
      </c>
      <c r="O24" s="501">
        <v>0</v>
      </c>
    </row>
    <row r="25" spans="1:15" ht="16.5" customHeight="1">
      <c r="A25" s="497"/>
      <c r="B25" s="498"/>
      <c r="C25" s="499" t="s">
        <v>87</v>
      </c>
      <c r="D25" s="500"/>
      <c r="E25" s="501">
        <v>339307</v>
      </c>
      <c r="F25" s="501">
        <f t="shared" si="10"/>
        <v>353483.59</v>
      </c>
      <c r="G25" s="501">
        <f t="shared" si="7"/>
        <v>104.17810124754278</v>
      </c>
      <c r="H25" s="501">
        <v>353483.59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</row>
    <row r="26" spans="1:15" ht="16.5" customHeight="1">
      <c r="A26" s="497"/>
      <c r="B26" s="498"/>
      <c r="C26" s="499" t="s">
        <v>227</v>
      </c>
      <c r="D26" s="500"/>
      <c r="E26" s="501">
        <v>172795</v>
      </c>
      <c r="F26" s="501">
        <f t="shared" si="10"/>
        <v>175400.69</v>
      </c>
      <c r="G26" s="501">
        <f>F26/E26*100</f>
        <v>101.5079660869817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175400.69</v>
      </c>
      <c r="N26" s="501">
        <v>0</v>
      </c>
      <c r="O26" s="501">
        <v>0</v>
      </c>
    </row>
    <row r="27" spans="1:15" ht="16.5" customHeight="1">
      <c r="A27" s="497"/>
      <c r="B27" s="498"/>
      <c r="C27" s="499" t="s">
        <v>88</v>
      </c>
      <c r="D27" s="500"/>
      <c r="E27" s="501">
        <v>0</v>
      </c>
      <c r="F27" s="501">
        <f t="shared" si="10"/>
        <v>14.68</v>
      </c>
      <c r="G27" s="501"/>
      <c r="H27" s="501">
        <v>14.68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</row>
    <row r="28" spans="1:15" ht="16.5" customHeight="1">
      <c r="A28" s="497"/>
      <c r="B28" s="498"/>
      <c r="C28" s="499" t="s">
        <v>89</v>
      </c>
      <c r="D28" s="500"/>
      <c r="E28" s="501">
        <v>44600</v>
      </c>
      <c r="F28" s="501">
        <f t="shared" si="10"/>
        <v>43684.69</v>
      </c>
      <c r="G28" s="501">
        <f aca="true" t="shared" si="11" ref="G28:G34">F28/E28*100</f>
        <v>97.94773542600898</v>
      </c>
      <c r="H28" s="501">
        <v>43684.69</v>
      </c>
      <c r="I28" s="501">
        <v>0</v>
      </c>
      <c r="J28" s="501">
        <v>0</v>
      </c>
      <c r="K28" s="501">
        <v>0</v>
      </c>
      <c r="L28" s="501">
        <v>0</v>
      </c>
      <c r="M28" s="501">
        <v>0</v>
      </c>
      <c r="N28" s="501">
        <v>0</v>
      </c>
      <c r="O28" s="501">
        <v>0</v>
      </c>
    </row>
    <row r="29" spans="1:15" ht="16.5" customHeight="1">
      <c r="A29" s="497"/>
      <c r="B29" s="498"/>
      <c r="C29" s="499" t="s">
        <v>85</v>
      </c>
      <c r="D29" s="500"/>
      <c r="E29" s="501">
        <v>175000</v>
      </c>
      <c r="F29" s="501">
        <f t="shared" si="10"/>
        <v>284360.3</v>
      </c>
      <c r="G29" s="501">
        <f t="shared" si="11"/>
        <v>162.4916</v>
      </c>
      <c r="H29" s="501">
        <v>284360.3</v>
      </c>
      <c r="I29" s="501">
        <v>0</v>
      </c>
      <c r="J29" s="501">
        <v>0</v>
      </c>
      <c r="K29" s="501">
        <v>0</v>
      </c>
      <c r="L29" s="501">
        <v>0</v>
      </c>
      <c r="M29" s="501">
        <v>0</v>
      </c>
      <c r="N29" s="501">
        <v>0</v>
      </c>
      <c r="O29" s="501">
        <v>0</v>
      </c>
    </row>
    <row r="30" spans="1:15" s="150" customFormat="1" ht="16.5" customHeight="1">
      <c r="A30" s="493" t="s">
        <v>33</v>
      </c>
      <c r="B30" s="493"/>
      <c r="C30" s="493"/>
      <c r="D30" s="494"/>
      <c r="E30" s="495">
        <f>E34+E31</f>
        <v>380205</v>
      </c>
      <c r="F30" s="495">
        <f>F34+F31</f>
        <v>455191.42000000004</v>
      </c>
      <c r="G30" s="495">
        <f t="shared" si="11"/>
        <v>119.72262858194922</v>
      </c>
      <c r="H30" s="495">
        <f aca="true" t="shared" si="12" ref="H30:O30">H34+H31</f>
        <v>455191.42000000004</v>
      </c>
      <c r="I30" s="495">
        <f t="shared" si="12"/>
        <v>0</v>
      </c>
      <c r="J30" s="495">
        <f t="shared" si="12"/>
        <v>0</v>
      </c>
      <c r="K30" s="495">
        <f t="shared" si="12"/>
        <v>0</v>
      </c>
      <c r="L30" s="495">
        <f t="shared" si="12"/>
        <v>0</v>
      </c>
      <c r="M30" s="495">
        <f t="shared" si="12"/>
        <v>0</v>
      </c>
      <c r="N30" s="495">
        <f t="shared" si="12"/>
        <v>0</v>
      </c>
      <c r="O30" s="495">
        <f t="shared" si="12"/>
        <v>0</v>
      </c>
    </row>
    <row r="31" spans="1:15" s="150" customFormat="1" ht="16.5" customHeight="1">
      <c r="A31" s="496"/>
      <c r="B31" s="493" t="s">
        <v>35</v>
      </c>
      <c r="C31" s="493"/>
      <c r="D31" s="494"/>
      <c r="E31" s="495">
        <f>SUM(E32:E33)</f>
        <v>380000</v>
      </c>
      <c r="F31" s="495">
        <f>SUM(F32:F33)</f>
        <v>454988.29000000004</v>
      </c>
      <c r="G31" s="495">
        <f>F31/E31*100</f>
        <v>119.73376052631579</v>
      </c>
      <c r="H31" s="495">
        <f aca="true" t="shared" si="13" ref="H31:O31">SUM(H32:H33)</f>
        <v>454988.29000000004</v>
      </c>
      <c r="I31" s="495">
        <f t="shared" si="13"/>
        <v>0</v>
      </c>
      <c r="J31" s="495">
        <f t="shared" si="13"/>
        <v>0</v>
      </c>
      <c r="K31" s="495">
        <f t="shared" si="13"/>
        <v>0</v>
      </c>
      <c r="L31" s="495">
        <f t="shared" si="13"/>
        <v>0</v>
      </c>
      <c r="M31" s="495">
        <f t="shared" si="13"/>
        <v>0</v>
      </c>
      <c r="N31" s="495">
        <f t="shared" si="13"/>
        <v>0</v>
      </c>
      <c r="O31" s="495">
        <f t="shared" si="13"/>
        <v>0</v>
      </c>
    </row>
    <row r="32" spans="1:15" s="150" customFormat="1" ht="16.5" customHeight="1">
      <c r="A32" s="497"/>
      <c r="B32" s="498"/>
      <c r="C32" s="499" t="s">
        <v>109</v>
      </c>
      <c r="D32" s="500"/>
      <c r="E32" s="501">
        <v>380000</v>
      </c>
      <c r="F32" s="501">
        <f>SUM(H32:O32)</f>
        <v>454684.21</v>
      </c>
      <c r="G32" s="501">
        <f>F32/E32*100</f>
        <v>119.65373947368421</v>
      </c>
      <c r="H32" s="501">
        <v>454684.21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</row>
    <row r="33" spans="1:15" s="150" customFormat="1" ht="16.5" customHeight="1">
      <c r="A33" s="497"/>
      <c r="B33" s="498"/>
      <c r="C33" s="499" t="s">
        <v>88</v>
      </c>
      <c r="D33" s="500"/>
      <c r="E33" s="501">
        <v>0</v>
      </c>
      <c r="F33" s="501">
        <f>SUM(H33:O33)</f>
        <v>304.08</v>
      </c>
      <c r="G33" s="501"/>
      <c r="H33" s="501">
        <v>304.08</v>
      </c>
      <c r="I33" s="501">
        <v>0</v>
      </c>
      <c r="J33" s="501">
        <v>0</v>
      </c>
      <c r="K33" s="501">
        <v>0</v>
      </c>
      <c r="L33" s="501">
        <v>0</v>
      </c>
      <c r="M33" s="501">
        <v>0</v>
      </c>
      <c r="N33" s="501">
        <v>0</v>
      </c>
      <c r="O33" s="501">
        <v>0</v>
      </c>
    </row>
    <row r="34" spans="1:15" s="150" customFormat="1" ht="16.5" customHeight="1">
      <c r="A34" s="496"/>
      <c r="B34" s="493" t="s">
        <v>37</v>
      </c>
      <c r="C34" s="493"/>
      <c r="D34" s="494"/>
      <c r="E34" s="495">
        <f>SUM(E35:E38)</f>
        <v>205</v>
      </c>
      <c r="F34" s="495">
        <f>SUM(F35:F38)</f>
        <v>203.13</v>
      </c>
      <c r="G34" s="495">
        <f t="shared" si="11"/>
        <v>99.08780487804879</v>
      </c>
      <c r="H34" s="495">
        <f aca="true" t="shared" si="14" ref="H34:O34">SUM(H35:H38)</f>
        <v>203.13</v>
      </c>
      <c r="I34" s="495">
        <f t="shared" si="14"/>
        <v>0</v>
      </c>
      <c r="J34" s="495">
        <f t="shared" si="14"/>
        <v>0</v>
      </c>
      <c r="K34" s="495">
        <f t="shared" si="14"/>
        <v>0</v>
      </c>
      <c r="L34" s="495">
        <f t="shared" si="14"/>
        <v>0</v>
      </c>
      <c r="M34" s="495">
        <f t="shared" si="14"/>
        <v>0</v>
      </c>
      <c r="N34" s="495">
        <f t="shared" si="14"/>
        <v>0</v>
      </c>
      <c r="O34" s="495">
        <f t="shared" si="14"/>
        <v>0</v>
      </c>
    </row>
    <row r="35" spans="1:15" ht="16.5" customHeight="1">
      <c r="A35" s="497"/>
      <c r="B35" s="498"/>
      <c r="C35" s="499" t="s">
        <v>99</v>
      </c>
      <c r="D35" s="500"/>
      <c r="E35" s="501">
        <v>78</v>
      </c>
      <c r="F35" s="501">
        <f>SUM(H35:O35)</f>
        <v>68.6</v>
      </c>
      <c r="G35" s="501">
        <f>F35/E35*100</f>
        <v>87.94871794871794</v>
      </c>
      <c r="H35" s="501">
        <v>68.6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</row>
    <row r="36" spans="1:15" ht="16.5" customHeight="1">
      <c r="A36" s="497"/>
      <c r="B36" s="498"/>
      <c r="C36" s="499" t="s">
        <v>88</v>
      </c>
      <c r="D36" s="500"/>
      <c r="E36" s="501">
        <v>52</v>
      </c>
      <c r="F36" s="501">
        <f>SUM(H36:O36)</f>
        <v>57.15</v>
      </c>
      <c r="G36" s="501">
        <f>F36/E36*100</f>
        <v>109.90384615384615</v>
      </c>
      <c r="H36" s="501">
        <v>57.15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</row>
    <row r="37" spans="1:15" ht="16.5" customHeight="1">
      <c r="A37" s="497"/>
      <c r="B37" s="498"/>
      <c r="C37" s="499" t="s">
        <v>89</v>
      </c>
      <c r="D37" s="500"/>
      <c r="E37" s="501">
        <v>75</v>
      </c>
      <c r="F37" s="501">
        <f>SUM(H37:O37)</f>
        <v>75</v>
      </c>
      <c r="G37" s="501">
        <f>F37/E37*100</f>
        <v>100</v>
      </c>
      <c r="H37" s="501">
        <v>75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</row>
    <row r="38" spans="1:15" ht="16.5" customHeight="1">
      <c r="A38" s="497"/>
      <c r="B38" s="498"/>
      <c r="C38" s="499" t="s">
        <v>85</v>
      </c>
      <c r="D38" s="500"/>
      <c r="E38" s="501">
        <v>0</v>
      </c>
      <c r="F38" s="501">
        <f>SUM(H38:O38)</f>
        <v>2.38</v>
      </c>
      <c r="G38" s="501"/>
      <c r="H38" s="501">
        <v>2.38</v>
      </c>
      <c r="I38" s="501">
        <v>0</v>
      </c>
      <c r="J38" s="501">
        <v>0</v>
      </c>
      <c r="K38" s="501">
        <v>0</v>
      </c>
      <c r="L38" s="501">
        <v>0</v>
      </c>
      <c r="M38" s="501">
        <v>0</v>
      </c>
      <c r="N38" s="501">
        <v>0</v>
      </c>
      <c r="O38" s="501">
        <v>0</v>
      </c>
    </row>
    <row r="39" spans="1:15" ht="16.5" customHeight="1">
      <c r="A39" s="493" t="s">
        <v>19</v>
      </c>
      <c r="B39" s="493"/>
      <c r="C39" s="493"/>
      <c r="D39" s="494"/>
      <c r="E39" s="495">
        <f>E40+E47+E51+E45</f>
        <v>86492</v>
      </c>
      <c r="F39" s="495">
        <f>F40+F47+F51+F45</f>
        <v>90323.23999999999</v>
      </c>
      <c r="G39" s="495">
        <f>F39/E39*100</f>
        <v>104.42958886370992</v>
      </c>
      <c r="H39" s="495">
        <f aca="true" t="shared" si="15" ref="H39:O39">H40+H47+H51+H45</f>
        <v>42491.8</v>
      </c>
      <c r="I39" s="495">
        <f t="shared" si="15"/>
        <v>0</v>
      </c>
      <c r="J39" s="495">
        <f t="shared" si="15"/>
        <v>7597.73</v>
      </c>
      <c r="K39" s="495">
        <f t="shared" si="15"/>
        <v>8105.92</v>
      </c>
      <c r="L39" s="495">
        <f t="shared" si="15"/>
        <v>0</v>
      </c>
      <c r="M39" s="495">
        <f t="shared" si="15"/>
        <v>32127.79</v>
      </c>
      <c r="N39" s="495">
        <f t="shared" si="15"/>
        <v>0</v>
      </c>
      <c r="O39" s="495">
        <f t="shared" si="15"/>
        <v>0</v>
      </c>
    </row>
    <row r="40" spans="1:15" ht="16.5" customHeight="1">
      <c r="A40" s="496"/>
      <c r="B40" s="493" t="s">
        <v>21</v>
      </c>
      <c r="C40" s="493"/>
      <c r="D40" s="494"/>
      <c r="E40" s="495">
        <f>SUM(E41:E44)</f>
        <v>67188</v>
      </c>
      <c r="F40" s="495">
        <f>SUM(F41:F44)</f>
        <v>70580.56</v>
      </c>
      <c r="G40" s="495">
        <f>F40/E40*100</f>
        <v>105.04935405131867</v>
      </c>
      <c r="H40" s="495">
        <f aca="true" t="shared" si="16" ref="H40:O40">SUM(H41:H44)</f>
        <v>38452.770000000004</v>
      </c>
      <c r="I40" s="495">
        <f t="shared" si="16"/>
        <v>0</v>
      </c>
      <c r="J40" s="495">
        <f t="shared" si="16"/>
        <v>0</v>
      </c>
      <c r="K40" s="495">
        <f t="shared" si="16"/>
        <v>0</v>
      </c>
      <c r="L40" s="495">
        <f t="shared" si="16"/>
        <v>0</v>
      </c>
      <c r="M40" s="495">
        <f t="shared" si="16"/>
        <v>32127.79</v>
      </c>
      <c r="N40" s="495">
        <f t="shared" si="16"/>
        <v>0</v>
      </c>
      <c r="O40" s="495">
        <f t="shared" si="16"/>
        <v>0</v>
      </c>
    </row>
    <row r="41" spans="1:15" ht="16.5" customHeight="1">
      <c r="A41" s="497"/>
      <c r="B41" s="498"/>
      <c r="C41" s="499" t="s">
        <v>99</v>
      </c>
      <c r="D41" s="500"/>
      <c r="E41" s="501">
        <v>22088</v>
      </c>
      <c r="F41" s="501">
        <f>SUM(H41:O41)</f>
        <v>24344.5</v>
      </c>
      <c r="G41" s="501">
        <f>F41/E41*100</f>
        <v>110.21595436436074</v>
      </c>
      <c r="H41" s="501">
        <v>24344.5</v>
      </c>
      <c r="I41" s="501">
        <v>0</v>
      </c>
      <c r="J41" s="501">
        <v>0</v>
      </c>
      <c r="K41" s="501">
        <v>0</v>
      </c>
      <c r="L41" s="501">
        <v>0</v>
      </c>
      <c r="M41" s="501">
        <v>0</v>
      </c>
      <c r="N41" s="501">
        <v>0</v>
      </c>
      <c r="O41" s="501">
        <v>0</v>
      </c>
    </row>
    <row r="42" spans="1:15" ht="16.5" customHeight="1">
      <c r="A42" s="497"/>
      <c r="B42" s="498"/>
      <c r="C42" s="499" t="s">
        <v>103</v>
      </c>
      <c r="D42" s="500"/>
      <c r="E42" s="501">
        <v>30000</v>
      </c>
      <c r="F42" s="501">
        <f>SUM(H42:O42)</f>
        <v>32127.79</v>
      </c>
      <c r="G42" s="501">
        <f>F42/E42*100</f>
        <v>107.09263333333334</v>
      </c>
      <c r="H42" s="501">
        <v>0</v>
      </c>
      <c r="I42" s="501">
        <v>0</v>
      </c>
      <c r="J42" s="501">
        <v>0</v>
      </c>
      <c r="K42" s="501">
        <v>0</v>
      </c>
      <c r="L42" s="501">
        <v>0</v>
      </c>
      <c r="M42" s="501">
        <v>32127.79</v>
      </c>
      <c r="N42" s="501">
        <v>0</v>
      </c>
      <c r="O42" s="501">
        <v>0</v>
      </c>
    </row>
    <row r="43" spans="1:15" ht="16.5" customHeight="1">
      <c r="A43" s="497"/>
      <c r="B43" s="498"/>
      <c r="C43" s="499" t="s">
        <v>88</v>
      </c>
      <c r="D43" s="500"/>
      <c r="E43" s="501">
        <v>100</v>
      </c>
      <c r="F43" s="501">
        <f>SUM(H43:O43)</f>
        <v>2.88</v>
      </c>
      <c r="G43" s="501">
        <f>F43/E43*100</f>
        <v>2.88</v>
      </c>
      <c r="H43" s="501">
        <v>2.88</v>
      </c>
      <c r="I43" s="501">
        <v>0</v>
      </c>
      <c r="J43" s="501">
        <v>0</v>
      </c>
      <c r="K43" s="501">
        <v>0</v>
      </c>
      <c r="L43" s="501">
        <v>0</v>
      </c>
      <c r="M43" s="501">
        <v>0</v>
      </c>
      <c r="N43" s="501">
        <v>0</v>
      </c>
      <c r="O43" s="501">
        <v>0</v>
      </c>
    </row>
    <row r="44" spans="1:15" ht="16.5" customHeight="1">
      <c r="A44" s="497"/>
      <c r="B44" s="498"/>
      <c r="C44" s="499" t="s">
        <v>89</v>
      </c>
      <c r="D44" s="500"/>
      <c r="E44" s="501">
        <v>15000</v>
      </c>
      <c r="F44" s="501">
        <f>SUM(H44:O44)</f>
        <v>14105.39</v>
      </c>
      <c r="G44" s="501">
        <f aca="true" t="shared" si="17" ref="G44:G50">F44/E44*100</f>
        <v>94.03593333333333</v>
      </c>
      <c r="H44" s="501">
        <v>14105.39</v>
      </c>
      <c r="I44" s="501">
        <v>0</v>
      </c>
      <c r="J44" s="501">
        <v>0</v>
      </c>
      <c r="K44" s="501">
        <v>0</v>
      </c>
      <c r="L44" s="501">
        <v>0</v>
      </c>
      <c r="M44" s="501">
        <v>0</v>
      </c>
      <c r="N44" s="501">
        <v>0</v>
      </c>
      <c r="O44" s="501">
        <v>0</v>
      </c>
    </row>
    <row r="45" spans="1:15" ht="16.5" customHeight="1">
      <c r="A45" s="497"/>
      <c r="B45" s="493" t="s">
        <v>38</v>
      </c>
      <c r="C45" s="493"/>
      <c r="D45" s="494"/>
      <c r="E45" s="495">
        <f>SUM(E46:E46)</f>
        <v>7598</v>
      </c>
      <c r="F45" s="495">
        <f>SUM(F46:F46)</f>
        <v>7597.73</v>
      </c>
      <c r="G45" s="495">
        <f t="shared" si="17"/>
        <v>99.99644643327191</v>
      </c>
      <c r="H45" s="495">
        <f aca="true" t="shared" si="18" ref="H45:O45">SUM(H46:H46)</f>
        <v>0</v>
      </c>
      <c r="I45" s="495">
        <f t="shared" si="18"/>
        <v>0</v>
      </c>
      <c r="J45" s="495">
        <f t="shared" si="18"/>
        <v>7597.73</v>
      </c>
      <c r="K45" s="495">
        <f t="shared" si="18"/>
        <v>0</v>
      </c>
      <c r="L45" s="495">
        <f t="shared" si="18"/>
        <v>0</v>
      </c>
      <c r="M45" s="495">
        <f t="shared" si="18"/>
        <v>0</v>
      </c>
      <c r="N45" s="495">
        <f t="shared" si="18"/>
        <v>0</v>
      </c>
      <c r="O45" s="495">
        <f t="shared" si="18"/>
        <v>0</v>
      </c>
    </row>
    <row r="46" spans="1:15" ht="16.5" customHeight="1">
      <c r="A46" s="497"/>
      <c r="B46" s="498"/>
      <c r="C46" s="499" t="s">
        <v>372</v>
      </c>
      <c r="D46" s="500"/>
      <c r="E46" s="501">
        <v>7598</v>
      </c>
      <c r="F46" s="501">
        <f>SUM(H46:O46)</f>
        <v>7597.73</v>
      </c>
      <c r="G46" s="501">
        <f t="shared" si="17"/>
        <v>99.99644643327191</v>
      </c>
      <c r="H46" s="501">
        <v>0</v>
      </c>
      <c r="I46" s="501">
        <v>0</v>
      </c>
      <c r="J46" s="501">
        <v>7597.73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</row>
    <row r="47" spans="1:15" ht="16.5" customHeight="1">
      <c r="A47" s="497"/>
      <c r="B47" s="493" t="s">
        <v>138</v>
      </c>
      <c r="C47" s="493"/>
      <c r="D47" s="494"/>
      <c r="E47" s="495">
        <f>SUM(E48:E50)</f>
        <v>11706</v>
      </c>
      <c r="F47" s="495">
        <f>SUM(F48:F50)</f>
        <v>12144.95</v>
      </c>
      <c r="G47" s="495">
        <f t="shared" si="17"/>
        <v>103.7497864343072</v>
      </c>
      <c r="H47" s="495">
        <f aca="true" t="shared" si="19" ref="H47:O47">SUM(H48:H50)</f>
        <v>4039.03</v>
      </c>
      <c r="I47" s="495">
        <f t="shared" si="19"/>
        <v>0</v>
      </c>
      <c r="J47" s="495">
        <f t="shared" si="19"/>
        <v>0</v>
      </c>
      <c r="K47" s="495">
        <f t="shared" si="19"/>
        <v>8105.92</v>
      </c>
      <c r="L47" s="495">
        <f t="shared" si="19"/>
        <v>0</v>
      </c>
      <c r="M47" s="495">
        <f t="shared" si="19"/>
        <v>0</v>
      </c>
      <c r="N47" s="495">
        <f t="shared" si="19"/>
        <v>0</v>
      </c>
      <c r="O47" s="495">
        <f t="shared" si="19"/>
        <v>0</v>
      </c>
    </row>
    <row r="48" spans="1:15" ht="16.5" customHeight="1">
      <c r="A48" s="497"/>
      <c r="B48" s="508"/>
      <c r="C48" s="499" t="s">
        <v>460</v>
      </c>
      <c r="D48" s="500"/>
      <c r="E48" s="501">
        <v>1600</v>
      </c>
      <c r="F48" s="501">
        <f>SUM(H48:O48)</f>
        <v>1600</v>
      </c>
      <c r="G48" s="501">
        <f t="shared" si="17"/>
        <v>100</v>
      </c>
      <c r="H48" s="501">
        <v>1600</v>
      </c>
      <c r="I48" s="501">
        <v>0</v>
      </c>
      <c r="J48" s="501">
        <v>0</v>
      </c>
      <c r="K48" s="501">
        <v>0</v>
      </c>
      <c r="L48" s="501">
        <v>0</v>
      </c>
      <c r="M48" s="501">
        <v>0</v>
      </c>
      <c r="N48" s="501">
        <v>0</v>
      </c>
      <c r="O48" s="501">
        <v>0</v>
      </c>
    </row>
    <row r="49" spans="1:15" ht="16.5" customHeight="1">
      <c r="A49" s="497"/>
      <c r="B49" s="498"/>
      <c r="C49" s="499" t="s">
        <v>89</v>
      </c>
      <c r="D49" s="500"/>
      <c r="E49" s="501">
        <v>2000</v>
      </c>
      <c r="F49" s="501">
        <f>SUM(H49:O49)</f>
        <v>2439.03</v>
      </c>
      <c r="G49" s="501">
        <f t="shared" si="17"/>
        <v>121.95150000000001</v>
      </c>
      <c r="H49" s="501">
        <v>2439.03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</row>
    <row r="50" spans="1:15" ht="16.5" customHeight="1">
      <c r="A50" s="497"/>
      <c r="B50" s="498"/>
      <c r="C50" s="499" t="s">
        <v>178</v>
      </c>
      <c r="D50" s="500"/>
      <c r="E50" s="501">
        <v>8106</v>
      </c>
      <c r="F50" s="501">
        <f>SUM(H50:O50)</f>
        <v>8105.92</v>
      </c>
      <c r="G50" s="501">
        <f t="shared" si="17"/>
        <v>99.99901307673329</v>
      </c>
      <c r="H50" s="501">
        <v>0</v>
      </c>
      <c r="I50" s="501">
        <v>0</v>
      </c>
      <c r="J50" s="501">
        <v>0</v>
      </c>
      <c r="K50" s="501">
        <v>8105.92</v>
      </c>
      <c r="L50" s="501">
        <v>0</v>
      </c>
      <c r="M50" s="501">
        <v>0</v>
      </c>
      <c r="N50" s="501">
        <v>0</v>
      </c>
      <c r="O50" s="501">
        <v>0</v>
      </c>
    </row>
    <row r="51" spans="1:15" ht="16.5" customHeight="1" hidden="1">
      <c r="A51" s="497"/>
      <c r="B51" s="493" t="s">
        <v>49</v>
      </c>
      <c r="C51" s="493"/>
      <c r="D51" s="494"/>
      <c r="E51" s="495">
        <f>SUM(E52:E54)</f>
        <v>0</v>
      </c>
      <c r="F51" s="495">
        <f>SUM(F52:F54)</f>
        <v>0</v>
      </c>
      <c r="G51" s="495" t="e">
        <f aca="true" t="shared" si="20" ref="G51:G66">F51/E51*100</f>
        <v>#DIV/0!</v>
      </c>
      <c r="H51" s="495">
        <f aca="true" t="shared" si="21" ref="H51:O51">SUM(H52:H54)</f>
        <v>0</v>
      </c>
      <c r="I51" s="495">
        <f t="shared" si="21"/>
        <v>0</v>
      </c>
      <c r="J51" s="495">
        <f t="shared" si="21"/>
        <v>0</v>
      </c>
      <c r="K51" s="495">
        <f t="shared" si="21"/>
        <v>0</v>
      </c>
      <c r="L51" s="495">
        <f t="shared" si="21"/>
        <v>0</v>
      </c>
      <c r="M51" s="495">
        <f t="shared" si="21"/>
        <v>0</v>
      </c>
      <c r="N51" s="495">
        <f t="shared" si="21"/>
        <v>0</v>
      </c>
      <c r="O51" s="495">
        <f t="shared" si="21"/>
        <v>0</v>
      </c>
    </row>
    <row r="52" spans="1:15" ht="16.5" customHeight="1" hidden="1">
      <c r="A52" s="497"/>
      <c r="B52" s="498"/>
      <c r="C52" s="499" t="s">
        <v>268</v>
      </c>
      <c r="D52" s="500"/>
      <c r="E52" s="501"/>
      <c r="F52" s="501">
        <f>SUM(H52:O52)</f>
        <v>0</v>
      </c>
      <c r="G52" s="501" t="e">
        <f>F52/E52*100</f>
        <v>#DIV/0!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</row>
    <row r="53" spans="1:15" ht="16.5" customHeight="1" hidden="1">
      <c r="A53" s="497"/>
      <c r="B53" s="498"/>
      <c r="C53" s="499" t="s">
        <v>178</v>
      </c>
      <c r="D53" s="500"/>
      <c r="E53" s="501"/>
      <c r="F53" s="501">
        <f>SUM(H53:O53)</f>
        <v>0</v>
      </c>
      <c r="G53" s="501" t="e">
        <f>F53/E53*100</f>
        <v>#DIV/0!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</row>
    <row r="54" spans="1:15" ht="16.5" customHeight="1" hidden="1">
      <c r="A54" s="497"/>
      <c r="B54" s="498"/>
      <c r="C54" s="499" t="s">
        <v>382</v>
      </c>
      <c r="D54" s="500"/>
      <c r="E54" s="501"/>
      <c r="F54" s="501">
        <f>SUM(H54:O54)</f>
        <v>0</v>
      </c>
      <c r="G54" s="501" t="e">
        <f>F54/E54*100</f>
        <v>#DIV/0!</v>
      </c>
      <c r="H54" s="501"/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  <c r="O54" s="501">
        <v>0</v>
      </c>
    </row>
    <row r="55" spans="1:15" ht="16.5" customHeight="1">
      <c r="A55" s="493" t="s">
        <v>39</v>
      </c>
      <c r="B55" s="493"/>
      <c r="C55" s="493"/>
      <c r="D55" s="494"/>
      <c r="E55" s="495">
        <f>E56</f>
        <v>49684</v>
      </c>
      <c r="F55" s="495">
        <f>F56</f>
        <v>49241.05</v>
      </c>
      <c r="G55" s="495">
        <f t="shared" si="20"/>
        <v>99.10846550197247</v>
      </c>
      <c r="H55" s="495">
        <f aca="true" t="shared" si="22" ref="H55:O55">H56</f>
        <v>3241.0499999999997</v>
      </c>
      <c r="I55" s="495">
        <f t="shared" si="22"/>
        <v>0</v>
      </c>
      <c r="J55" s="495">
        <f t="shared" si="22"/>
        <v>7243</v>
      </c>
      <c r="K55" s="495">
        <f t="shared" si="22"/>
        <v>0</v>
      </c>
      <c r="L55" s="495">
        <f t="shared" si="22"/>
        <v>0</v>
      </c>
      <c r="M55" s="495">
        <f t="shared" si="22"/>
        <v>0</v>
      </c>
      <c r="N55" s="495">
        <f t="shared" si="22"/>
        <v>38757</v>
      </c>
      <c r="O55" s="495">
        <f t="shared" si="22"/>
        <v>0</v>
      </c>
    </row>
    <row r="56" spans="1:15" ht="16.5" customHeight="1">
      <c r="A56" s="496"/>
      <c r="B56" s="493" t="s">
        <v>40</v>
      </c>
      <c r="C56" s="493"/>
      <c r="D56" s="494"/>
      <c r="E56" s="495">
        <f>SUM(E57:E61)</f>
        <v>49684</v>
      </c>
      <c r="F56" s="495">
        <f>SUM(F57:F61)</f>
        <v>49241.05</v>
      </c>
      <c r="G56" s="495">
        <f t="shared" si="20"/>
        <v>99.10846550197247</v>
      </c>
      <c r="H56" s="495">
        <f aca="true" t="shared" si="23" ref="H56:O56">SUM(H57:H61)</f>
        <v>3241.0499999999997</v>
      </c>
      <c r="I56" s="495">
        <f t="shared" si="23"/>
        <v>0</v>
      </c>
      <c r="J56" s="495">
        <f t="shared" si="23"/>
        <v>7243</v>
      </c>
      <c r="K56" s="495">
        <f t="shared" si="23"/>
        <v>0</v>
      </c>
      <c r="L56" s="495">
        <f t="shared" si="23"/>
        <v>0</v>
      </c>
      <c r="M56" s="495">
        <f t="shared" si="23"/>
        <v>0</v>
      </c>
      <c r="N56" s="495">
        <f t="shared" si="23"/>
        <v>38757</v>
      </c>
      <c r="O56" s="495">
        <f t="shared" si="23"/>
        <v>0</v>
      </c>
    </row>
    <row r="57" spans="1:15" ht="16.5" customHeight="1">
      <c r="A57" s="497"/>
      <c r="B57" s="498"/>
      <c r="C57" s="499" t="s">
        <v>88</v>
      </c>
      <c r="D57" s="500"/>
      <c r="E57" s="501">
        <v>1000</v>
      </c>
      <c r="F57" s="501">
        <f>SUM(H57:O57)</f>
        <v>802.66</v>
      </c>
      <c r="G57" s="501">
        <f t="shared" si="20"/>
        <v>80.26599999999999</v>
      </c>
      <c r="H57" s="501">
        <v>802.66</v>
      </c>
      <c r="I57" s="501">
        <v>0</v>
      </c>
      <c r="J57" s="501">
        <v>0</v>
      </c>
      <c r="K57" s="501">
        <v>0</v>
      </c>
      <c r="L57" s="501">
        <v>0</v>
      </c>
      <c r="M57" s="501">
        <v>0</v>
      </c>
      <c r="N57" s="501">
        <v>0</v>
      </c>
      <c r="O57" s="501">
        <v>0</v>
      </c>
    </row>
    <row r="58" spans="1:15" ht="16.5" customHeight="1">
      <c r="A58" s="497"/>
      <c r="B58" s="498"/>
      <c r="C58" s="499" t="s">
        <v>89</v>
      </c>
      <c r="D58" s="500"/>
      <c r="E58" s="501">
        <v>1500</v>
      </c>
      <c r="F58" s="501">
        <f>SUM(H58:O58)</f>
        <v>1500</v>
      </c>
      <c r="G58" s="501">
        <f t="shared" si="20"/>
        <v>100</v>
      </c>
      <c r="H58" s="501">
        <v>1500</v>
      </c>
      <c r="I58" s="501">
        <v>0</v>
      </c>
      <c r="J58" s="501">
        <v>0</v>
      </c>
      <c r="K58" s="501">
        <v>0</v>
      </c>
      <c r="L58" s="501">
        <v>0</v>
      </c>
      <c r="M58" s="501">
        <v>0</v>
      </c>
      <c r="N58" s="501">
        <v>0</v>
      </c>
      <c r="O58" s="501">
        <v>0</v>
      </c>
    </row>
    <row r="59" spans="1:15" ht="16.5" customHeight="1">
      <c r="A59" s="497"/>
      <c r="B59" s="498"/>
      <c r="C59" s="499" t="s">
        <v>85</v>
      </c>
      <c r="D59" s="500"/>
      <c r="E59" s="501">
        <v>1184</v>
      </c>
      <c r="F59" s="501">
        <f>SUM(H59:O59)</f>
        <v>938.39</v>
      </c>
      <c r="G59" s="501">
        <f t="shared" si="20"/>
        <v>79.25591216216216</v>
      </c>
      <c r="H59" s="501">
        <v>938.39</v>
      </c>
      <c r="I59" s="501">
        <v>0</v>
      </c>
      <c r="J59" s="501">
        <v>0</v>
      </c>
      <c r="K59" s="501">
        <v>0</v>
      </c>
      <c r="L59" s="501">
        <v>0</v>
      </c>
      <c r="M59" s="501">
        <v>0</v>
      </c>
      <c r="N59" s="501">
        <v>0</v>
      </c>
      <c r="O59" s="501">
        <v>0</v>
      </c>
    </row>
    <row r="60" spans="1:15" ht="16.5" customHeight="1">
      <c r="A60" s="497"/>
      <c r="B60" s="498"/>
      <c r="C60" s="499" t="s">
        <v>613</v>
      </c>
      <c r="D60" s="500"/>
      <c r="E60" s="501">
        <v>7243</v>
      </c>
      <c r="F60" s="501">
        <f>SUM(H60:O60)</f>
        <v>7243</v>
      </c>
      <c r="G60" s="501">
        <f t="shared" si="20"/>
        <v>100</v>
      </c>
      <c r="H60" s="501">
        <v>0</v>
      </c>
      <c r="I60" s="501">
        <v>0</v>
      </c>
      <c r="J60" s="501">
        <v>7243</v>
      </c>
      <c r="K60" s="501">
        <v>0</v>
      </c>
      <c r="L60" s="501">
        <v>0</v>
      </c>
      <c r="M60" s="501">
        <v>0</v>
      </c>
      <c r="N60" s="501">
        <v>0</v>
      </c>
      <c r="O60" s="501">
        <v>0</v>
      </c>
    </row>
    <row r="61" spans="1:15" ht="16.5" customHeight="1">
      <c r="A61" s="497"/>
      <c r="B61" s="498"/>
      <c r="C61" s="499" t="s">
        <v>614</v>
      </c>
      <c r="D61" s="500"/>
      <c r="E61" s="501">
        <v>38757</v>
      </c>
      <c r="F61" s="501">
        <f>SUM(H61:O61)</f>
        <v>38757</v>
      </c>
      <c r="G61" s="501">
        <f t="shared" si="20"/>
        <v>100</v>
      </c>
      <c r="H61" s="501">
        <v>0</v>
      </c>
      <c r="I61" s="501">
        <v>0</v>
      </c>
      <c r="J61" s="501">
        <v>0</v>
      </c>
      <c r="K61" s="501">
        <v>0</v>
      </c>
      <c r="L61" s="501">
        <v>0</v>
      </c>
      <c r="M61" s="501">
        <v>0</v>
      </c>
      <c r="N61" s="501">
        <v>38757</v>
      </c>
      <c r="O61" s="501">
        <v>0</v>
      </c>
    </row>
    <row r="62" spans="1:15" ht="16.5" customHeight="1">
      <c r="A62" s="493" t="s">
        <v>22</v>
      </c>
      <c r="B62" s="493"/>
      <c r="C62" s="493"/>
      <c r="D62" s="494"/>
      <c r="E62" s="495">
        <f>E63+E68</f>
        <v>14383860</v>
      </c>
      <c r="F62" s="495">
        <f>F63+F68</f>
        <v>14655100.49</v>
      </c>
      <c r="G62" s="495">
        <f t="shared" si="20"/>
        <v>101.88572810080187</v>
      </c>
      <c r="H62" s="495">
        <f aca="true" t="shared" si="24" ref="H62:O62">H63+H68</f>
        <v>14655100.49</v>
      </c>
      <c r="I62" s="495">
        <f t="shared" si="24"/>
        <v>0</v>
      </c>
      <c r="J62" s="495">
        <f t="shared" si="24"/>
        <v>0</v>
      </c>
      <c r="K62" s="495">
        <f t="shared" si="24"/>
        <v>0</v>
      </c>
      <c r="L62" s="495">
        <f t="shared" si="24"/>
        <v>0</v>
      </c>
      <c r="M62" s="495">
        <f t="shared" si="24"/>
        <v>0</v>
      </c>
      <c r="N62" s="495">
        <f t="shared" si="24"/>
        <v>0</v>
      </c>
      <c r="O62" s="495">
        <f t="shared" si="24"/>
        <v>0</v>
      </c>
    </row>
    <row r="63" spans="1:15" ht="16.5" customHeight="1">
      <c r="A63" s="496"/>
      <c r="B63" s="493" t="s">
        <v>104</v>
      </c>
      <c r="C63" s="493"/>
      <c r="D63" s="494"/>
      <c r="E63" s="495">
        <f>SUM(E64:E67)</f>
        <v>2645550</v>
      </c>
      <c r="F63" s="495">
        <f>SUM(F64:F67)</f>
        <v>2823154.9</v>
      </c>
      <c r="G63" s="495">
        <f t="shared" si="20"/>
        <v>106.71334505112358</v>
      </c>
      <c r="H63" s="495">
        <f aca="true" t="shared" si="25" ref="H63:O63">SUM(H64:H67)</f>
        <v>2823154.9</v>
      </c>
      <c r="I63" s="495">
        <f t="shared" si="25"/>
        <v>0</v>
      </c>
      <c r="J63" s="495">
        <f t="shared" si="25"/>
        <v>0</v>
      </c>
      <c r="K63" s="495">
        <f t="shared" si="25"/>
        <v>0</v>
      </c>
      <c r="L63" s="495">
        <f t="shared" si="25"/>
        <v>0</v>
      </c>
      <c r="M63" s="495">
        <f t="shared" si="25"/>
        <v>0</v>
      </c>
      <c r="N63" s="495">
        <f t="shared" si="25"/>
        <v>0</v>
      </c>
      <c r="O63" s="495">
        <f t="shared" si="25"/>
        <v>0</v>
      </c>
    </row>
    <row r="64" spans="1:15" ht="16.5" customHeight="1">
      <c r="A64" s="497"/>
      <c r="B64" s="498"/>
      <c r="C64" s="499" t="s">
        <v>86</v>
      </c>
      <c r="D64" s="500"/>
      <c r="E64" s="501">
        <v>1661250</v>
      </c>
      <c r="F64" s="501">
        <f>SUM(H64:O64)</f>
        <v>1845363.32</v>
      </c>
      <c r="G64" s="501">
        <f t="shared" si="20"/>
        <v>111.08281835966893</v>
      </c>
      <c r="H64" s="501">
        <v>1845363.32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</row>
    <row r="65" spans="1:15" ht="16.5" customHeight="1">
      <c r="A65" s="497"/>
      <c r="B65" s="498"/>
      <c r="C65" s="499" t="s">
        <v>172</v>
      </c>
      <c r="D65" s="500"/>
      <c r="E65" s="501">
        <v>983800</v>
      </c>
      <c r="F65" s="501">
        <f>SUM(H65:O65)</f>
        <v>977153</v>
      </c>
      <c r="G65" s="501">
        <f t="shared" si="20"/>
        <v>99.32435454360642</v>
      </c>
      <c r="H65" s="501">
        <v>977153</v>
      </c>
      <c r="I65" s="501">
        <v>0</v>
      </c>
      <c r="J65" s="501">
        <v>0</v>
      </c>
      <c r="K65" s="501">
        <v>0</v>
      </c>
      <c r="L65" s="501">
        <v>0</v>
      </c>
      <c r="M65" s="501">
        <v>0</v>
      </c>
      <c r="N65" s="501">
        <v>0</v>
      </c>
      <c r="O65" s="501">
        <v>0</v>
      </c>
    </row>
    <row r="66" spans="1:15" ht="16.5" customHeight="1">
      <c r="A66" s="497"/>
      <c r="B66" s="498"/>
      <c r="C66" s="499" t="s">
        <v>99</v>
      </c>
      <c r="D66" s="500"/>
      <c r="E66" s="501">
        <v>500</v>
      </c>
      <c r="F66" s="501">
        <f>SUM(H66:O66)</f>
        <v>298.51</v>
      </c>
      <c r="G66" s="501">
        <f t="shared" si="20"/>
        <v>59.702</v>
      </c>
      <c r="H66" s="501">
        <v>298.51</v>
      </c>
      <c r="I66" s="501">
        <v>0</v>
      </c>
      <c r="J66" s="501">
        <v>0</v>
      </c>
      <c r="K66" s="501">
        <v>0</v>
      </c>
      <c r="L66" s="501">
        <v>0</v>
      </c>
      <c r="M66" s="501">
        <v>0</v>
      </c>
      <c r="N66" s="501">
        <v>0</v>
      </c>
      <c r="O66" s="501">
        <v>0</v>
      </c>
    </row>
    <row r="67" spans="1:15" ht="16.5" customHeight="1">
      <c r="A67" s="497"/>
      <c r="B67" s="498"/>
      <c r="C67" s="499" t="s">
        <v>175</v>
      </c>
      <c r="D67" s="500"/>
      <c r="E67" s="501">
        <v>0</v>
      </c>
      <c r="F67" s="501">
        <f>SUM(H67:O67)</f>
        <v>340.07</v>
      </c>
      <c r="G67" s="501"/>
      <c r="H67" s="501">
        <v>340.07</v>
      </c>
      <c r="I67" s="501">
        <v>0</v>
      </c>
      <c r="J67" s="501">
        <v>0</v>
      </c>
      <c r="K67" s="501">
        <v>0</v>
      </c>
      <c r="L67" s="501">
        <v>0</v>
      </c>
      <c r="M67" s="501">
        <v>0</v>
      </c>
      <c r="N67" s="501">
        <v>0</v>
      </c>
      <c r="O67" s="501">
        <v>0</v>
      </c>
    </row>
    <row r="68" spans="1:15" ht="16.5" customHeight="1">
      <c r="A68" s="497"/>
      <c r="B68" s="493" t="s">
        <v>23</v>
      </c>
      <c r="C68" s="493"/>
      <c r="D68" s="494"/>
      <c r="E68" s="495">
        <f>SUM(E69:E70)</f>
        <v>11738310</v>
      </c>
      <c r="F68" s="495">
        <f>SUM(F69:F70)</f>
        <v>11831945.59</v>
      </c>
      <c r="G68" s="495">
        <f aca="true" t="shared" si="26" ref="G68:G79">F68/E68*100</f>
        <v>100.79769225723294</v>
      </c>
      <c r="H68" s="495">
        <f aca="true" t="shared" si="27" ref="H68:O68">SUM(H69:H70)</f>
        <v>11831945.59</v>
      </c>
      <c r="I68" s="495">
        <f t="shared" si="27"/>
        <v>0</v>
      </c>
      <c r="J68" s="495">
        <f t="shared" si="27"/>
        <v>0</v>
      </c>
      <c r="K68" s="495">
        <f t="shared" si="27"/>
        <v>0</v>
      </c>
      <c r="L68" s="495">
        <f t="shared" si="27"/>
        <v>0</v>
      </c>
      <c r="M68" s="495">
        <f t="shared" si="27"/>
        <v>0</v>
      </c>
      <c r="N68" s="495">
        <f t="shared" si="27"/>
        <v>0</v>
      </c>
      <c r="O68" s="495">
        <f t="shared" si="27"/>
        <v>0</v>
      </c>
    </row>
    <row r="69" spans="1:15" ht="16.5" customHeight="1">
      <c r="A69" s="497"/>
      <c r="B69" s="498"/>
      <c r="C69" s="499" t="s">
        <v>90</v>
      </c>
      <c r="D69" s="500"/>
      <c r="E69" s="501">
        <v>11488310</v>
      </c>
      <c r="F69" s="501">
        <f>SUM(H69:O69)</f>
        <v>11588095</v>
      </c>
      <c r="G69" s="501">
        <f t="shared" si="26"/>
        <v>100.86857858118383</v>
      </c>
      <c r="H69" s="501">
        <v>11588095</v>
      </c>
      <c r="I69" s="501">
        <v>0</v>
      </c>
      <c r="J69" s="501">
        <v>0</v>
      </c>
      <c r="K69" s="501">
        <v>0</v>
      </c>
      <c r="L69" s="501">
        <v>0</v>
      </c>
      <c r="M69" s="501">
        <v>0</v>
      </c>
      <c r="N69" s="501">
        <v>0</v>
      </c>
      <c r="O69" s="501">
        <v>0</v>
      </c>
    </row>
    <row r="70" spans="1:15" ht="16.5" customHeight="1">
      <c r="A70" s="497"/>
      <c r="B70" s="498"/>
      <c r="C70" s="499" t="s">
        <v>91</v>
      </c>
      <c r="D70" s="500"/>
      <c r="E70" s="501">
        <v>250000</v>
      </c>
      <c r="F70" s="501">
        <f>SUM(H70:O70)</f>
        <v>243850.59</v>
      </c>
      <c r="G70" s="501">
        <f t="shared" si="26"/>
        <v>97.54023600000001</v>
      </c>
      <c r="H70" s="501">
        <v>243850.59</v>
      </c>
      <c r="I70" s="501">
        <v>0</v>
      </c>
      <c r="J70" s="501">
        <v>0</v>
      </c>
      <c r="K70" s="501">
        <v>0</v>
      </c>
      <c r="L70" s="501">
        <v>0</v>
      </c>
      <c r="M70" s="501">
        <v>0</v>
      </c>
      <c r="N70" s="501">
        <v>0</v>
      </c>
      <c r="O70" s="501">
        <v>0</v>
      </c>
    </row>
    <row r="71" spans="1:15" ht="16.5" customHeight="1">
      <c r="A71" s="493" t="s">
        <v>24</v>
      </c>
      <c r="B71" s="493"/>
      <c r="C71" s="493"/>
      <c r="D71" s="494"/>
      <c r="E71" s="495">
        <f>E72+E74+E76+E78+E81</f>
        <v>34713797</v>
      </c>
      <c r="F71" s="495">
        <f>F72+F74+F76+F78+F81</f>
        <v>34745340.54</v>
      </c>
      <c r="G71" s="495">
        <f t="shared" si="26"/>
        <v>100.09086744385813</v>
      </c>
      <c r="H71" s="495">
        <f aca="true" t="shared" si="28" ref="H71:O71">H72+H74+H76+H78+H81</f>
        <v>51543.54</v>
      </c>
      <c r="I71" s="495">
        <f t="shared" si="28"/>
        <v>34693797</v>
      </c>
      <c r="J71" s="495">
        <f t="shared" si="28"/>
        <v>0</v>
      </c>
      <c r="K71" s="495">
        <f t="shared" si="28"/>
        <v>0</v>
      </c>
      <c r="L71" s="495">
        <f t="shared" si="28"/>
        <v>0</v>
      </c>
      <c r="M71" s="495">
        <f t="shared" si="28"/>
        <v>0</v>
      </c>
      <c r="N71" s="495">
        <f t="shared" si="28"/>
        <v>0</v>
      </c>
      <c r="O71" s="495">
        <f t="shared" si="28"/>
        <v>0</v>
      </c>
    </row>
    <row r="72" spans="1:15" ht="16.5" customHeight="1">
      <c r="A72" s="496"/>
      <c r="B72" s="493" t="s">
        <v>25</v>
      </c>
      <c r="C72" s="493"/>
      <c r="D72" s="494"/>
      <c r="E72" s="495">
        <f>SUM(E73:E73)</f>
        <v>23543860</v>
      </c>
      <c r="F72" s="495">
        <f>SUM(F73:F73)</f>
        <v>23543860</v>
      </c>
      <c r="G72" s="495">
        <f t="shared" si="26"/>
        <v>100</v>
      </c>
      <c r="H72" s="495">
        <f aca="true" t="shared" si="29" ref="H72:O72">SUM(H73:H73)</f>
        <v>0</v>
      </c>
      <c r="I72" s="495">
        <f t="shared" si="29"/>
        <v>23543860</v>
      </c>
      <c r="J72" s="495">
        <f t="shared" si="29"/>
        <v>0</v>
      </c>
      <c r="K72" s="495">
        <f t="shared" si="29"/>
        <v>0</v>
      </c>
      <c r="L72" s="495">
        <f t="shared" si="29"/>
        <v>0</v>
      </c>
      <c r="M72" s="495">
        <f t="shared" si="29"/>
        <v>0</v>
      </c>
      <c r="N72" s="495">
        <f t="shared" si="29"/>
        <v>0</v>
      </c>
      <c r="O72" s="495">
        <f t="shared" si="29"/>
        <v>0</v>
      </c>
    </row>
    <row r="73" spans="1:15" ht="16.5" customHeight="1">
      <c r="A73" s="497"/>
      <c r="B73" s="498"/>
      <c r="C73" s="499" t="s">
        <v>92</v>
      </c>
      <c r="D73" s="500"/>
      <c r="E73" s="501">
        <v>23543860</v>
      </c>
      <c r="F73" s="501">
        <f>SUM(H73:O73)</f>
        <v>23543860</v>
      </c>
      <c r="G73" s="501">
        <f t="shared" si="26"/>
        <v>100</v>
      </c>
      <c r="H73" s="501">
        <v>0</v>
      </c>
      <c r="I73" s="501">
        <v>23543860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</row>
    <row r="74" spans="1:15" ht="16.5" customHeight="1" hidden="1">
      <c r="A74" s="496"/>
      <c r="B74" s="493" t="s">
        <v>169</v>
      </c>
      <c r="C74" s="493"/>
      <c r="D74" s="494"/>
      <c r="E74" s="495">
        <f>SUM(E75:E75)</f>
        <v>0</v>
      </c>
      <c r="F74" s="495">
        <f>SUM(F75:F75)</f>
        <v>0</v>
      </c>
      <c r="G74" s="495" t="e">
        <f t="shared" si="26"/>
        <v>#DIV/0!</v>
      </c>
      <c r="H74" s="495">
        <f aca="true" t="shared" si="30" ref="H74:O74">SUM(H75:H75)</f>
        <v>0</v>
      </c>
      <c r="I74" s="495">
        <f t="shared" si="30"/>
        <v>0</v>
      </c>
      <c r="J74" s="495">
        <f t="shared" si="30"/>
        <v>0</v>
      </c>
      <c r="K74" s="495">
        <f t="shared" si="30"/>
        <v>0</v>
      </c>
      <c r="L74" s="495">
        <f t="shared" si="30"/>
        <v>0</v>
      </c>
      <c r="M74" s="495">
        <f t="shared" si="30"/>
        <v>0</v>
      </c>
      <c r="N74" s="495">
        <f t="shared" si="30"/>
        <v>0</v>
      </c>
      <c r="O74" s="495">
        <f t="shared" si="30"/>
        <v>0</v>
      </c>
    </row>
    <row r="75" spans="1:15" ht="16.5" customHeight="1" hidden="1">
      <c r="A75" s="497"/>
      <c r="B75" s="498"/>
      <c r="C75" s="499" t="s">
        <v>176</v>
      </c>
      <c r="D75" s="500"/>
      <c r="E75" s="501"/>
      <c r="F75" s="501">
        <f>SUM(H75:O75)</f>
        <v>0</v>
      </c>
      <c r="G75" s="501" t="e">
        <f t="shared" si="26"/>
        <v>#DIV/0!</v>
      </c>
      <c r="H75" s="501">
        <v>0</v>
      </c>
      <c r="I75" s="501">
        <v>0</v>
      </c>
      <c r="J75" s="501">
        <v>0</v>
      </c>
      <c r="K75" s="501">
        <v>0</v>
      </c>
      <c r="L75" s="501">
        <v>0</v>
      </c>
      <c r="M75" s="501">
        <v>0</v>
      </c>
      <c r="N75" s="501">
        <v>0</v>
      </c>
      <c r="O75" s="501">
        <v>0</v>
      </c>
    </row>
    <row r="76" spans="1:15" ht="16.5" customHeight="1">
      <c r="A76" s="496"/>
      <c r="B76" s="493" t="s">
        <v>26</v>
      </c>
      <c r="C76" s="493"/>
      <c r="D76" s="494"/>
      <c r="E76" s="495">
        <f>SUM(E77:E77)</f>
        <v>8353919</v>
      </c>
      <c r="F76" s="495">
        <f>SUM(F77:F77)</f>
        <v>8353919</v>
      </c>
      <c r="G76" s="495">
        <f t="shared" si="26"/>
        <v>100</v>
      </c>
      <c r="H76" s="495">
        <f aca="true" t="shared" si="31" ref="H76:O76">SUM(H77:H77)</f>
        <v>0</v>
      </c>
      <c r="I76" s="495">
        <f t="shared" si="31"/>
        <v>8353919</v>
      </c>
      <c r="J76" s="495">
        <f t="shared" si="31"/>
        <v>0</v>
      </c>
      <c r="K76" s="495">
        <f t="shared" si="31"/>
        <v>0</v>
      </c>
      <c r="L76" s="495">
        <f t="shared" si="31"/>
        <v>0</v>
      </c>
      <c r="M76" s="495">
        <f t="shared" si="31"/>
        <v>0</v>
      </c>
      <c r="N76" s="495">
        <f t="shared" si="31"/>
        <v>0</v>
      </c>
      <c r="O76" s="495">
        <f t="shared" si="31"/>
        <v>0</v>
      </c>
    </row>
    <row r="77" spans="1:15" ht="16.5" customHeight="1">
      <c r="A77" s="497"/>
      <c r="B77" s="498"/>
      <c r="C77" s="499" t="s">
        <v>92</v>
      </c>
      <c r="D77" s="500"/>
      <c r="E77" s="501">
        <v>8353919</v>
      </c>
      <c r="F77" s="501">
        <f>SUM(H77:O77)</f>
        <v>8353919</v>
      </c>
      <c r="G77" s="501">
        <f t="shared" si="26"/>
        <v>100</v>
      </c>
      <c r="H77" s="501">
        <v>0</v>
      </c>
      <c r="I77" s="501">
        <v>8353919</v>
      </c>
      <c r="J77" s="501">
        <v>0</v>
      </c>
      <c r="K77" s="501">
        <v>0</v>
      </c>
      <c r="L77" s="501">
        <v>0</v>
      </c>
      <c r="M77" s="501">
        <v>0</v>
      </c>
      <c r="N77" s="501">
        <v>0</v>
      </c>
      <c r="O77" s="501">
        <v>0</v>
      </c>
    </row>
    <row r="78" spans="1:15" ht="16.5" customHeight="1">
      <c r="A78" s="496"/>
      <c r="B78" s="493" t="s">
        <v>27</v>
      </c>
      <c r="C78" s="493"/>
      <c r="D78" s="494"/>
      <c r="E78" s="495">
        <f>SUM(E79:E80)</f>
        <v>20000</v>
      </c>
      <c r="F78" s="495">
        <f>SUM(F79:F80)</f>
        <v>51543.54</v>
      </c>
      <c r="G78" s="495">
        <f t="shared" si="26"/>
        <v>257.7177</v>
      </c>
      <c r="H78" s="495">
        <f aca="true" t="shared" si="32" ref="H78:O78">SUM(H79:H80)</f>
        <v>51543.54</v>
      </c>
      <c r="I78" s="495">
        <f t="shared" si="32"/>
        <v>0</v>
      </c>
      <c r="J78" s="495">
        <f t="shared" si="32"/>
        <v>0</v>
      </c>
      <c r="K78" s="495">
        <f t="shared" si="32"/>
        <v>0</v>
      </c>
      <c r="L78" s="495">
        <f t="shared" si="32"/>
        <v>0</v>
      </c>
      <c r="M78" s="495">
        <f t="shared" si="32"/>
        <v>0</v>
      </c>
      <c r="N78" s="495">
        <f t="shared" si="32"/>
        <v>0</v>
      </c>
      <c r="O78" s="495">
        <f t="shared" si="32"/>
        <v>0</v>
      </c>
    </row>
    <row r="79" spans="1:15" ht="16.5" customHeight="1">
      <c r="A79" s="497"/>
      <c r="B79" s="498"/>
      <c r="C79" s="499" t="s">
        <v>88</v>
      </c>
      <c r="D79" s="500"/>
      <c r="E79" s="501">
        <v>20000</v>
      </c>
      <c r="F79" s="501">
        <f>SUM(H79:O79)</f>
        <v>24458.54</v>
      </c>
      <c r="G79" s="501">
        <f t="shared" si="26"/>
        <v>122.29270000000001</v>
      </c>
      <c r="H79" s="501">
        <v>24458.54</v>
      </c>
      <c r="I79" s="501">
        <v>0</v>
      </c>
      <c r="J79" s="501">
        <v>0</v>
      </c>
      <c r="K79" s="501">
        <v>0</v>
      </c>
      <c r="L79" s="501">
        <v>0</v>
      </c>
      <c r="M79" s="501">
        <v>0</v>
      </c>
      <c r="N79" s="501">
        <v>0</v>
      </c>
      <c r="O79" s="501">
        <v>0</v>
      </c>
    </row>
    <row r="80" spans="1:15" ht="16.5" customHeight="1">
      <c r="A80" s="497"/>
      <c r="B80" s="498"/>
      <c r="C80" s="499" t="s">
        <v>89</v>
      </c>
      <c r="D80" s="500"/>
      <c r="E80" s="501">
        <v>0</v>
      </c>
      <c r="F80" s="501">
        <f>SUM(H80:O80)</f>
        <v>27085</v>
      </c>
      <c r="G80" s="501"/>
      <c r="H80" s="501">
        <v>27085</v>
      </c>
      <c r="I80" s="501">
        <v>0</v>
      </c>
      <c r="J80" s="501">
        <v>0</v>
      </c>
      <c r="K80" s="501">
        <v>0</v>
      </c>
      <c r="L80" s="501">
        <v>0</v>
      </c>
      <c r="M80" s="501">
        <v>0</v>
      </c>
      <c r="N80" s="501">
        <v>0</v>
      </c>
      <c r="O80" s="501">
        <v>0</v>
      </c>
    </row>
    <row r="81" spans="1:15" ht="16.5" customHeight="1">
      <c r="A81" s="497"/>
      <c r="B81" s="493" t="s">
        <v>93</v>
      </c>
      <c r="C81" s="493"/>
      <c r="D81" s="494"/>
      <c r="E81" s="495">
        <f>SUM(E82:E82)</f>
        <v>2796018</v>
      </c>
      <c r="F81" s="495">
        <f>SUM(F82:F82)</f>
        <v>2796018</v>
      </c>
      <c r="G81" s="495">
        <f aca="true" t="shared" si="33" ref="G81:G90">F81/E81*100</f>
        <v>100</v>
      </c>
      <c r="H81" s="495">
        <f aca="true" t="shared" si="34" ref="H81:O81">SUM(H82:H82)</f>
        <v>0</v>
      </c>
      <c r="I81" s="495">
        <f t="shared" si="34"/>
        <v>2796018</v>
      </c>
      <c r="J81" s="495">
        <f t="shared" si="34"/>
        <v>0</v>
      </c>
      <c r="K81" s="495">
        <f t="shared" si="34"/>
        <v>0</v>
      </c>
      <c r="L81" s="495">
        <f t="shared" si="34"/>
        <v>0</v>
      </c>
      <c r="M81" s="495">
        <f t="shared" si="34"/>
        <v>0</v>
      </c>
      <c r="N81" s="495">
        <f t="shared" si="34"/>
        <v>0</v>
      </c>
      <c r="O81" s="495">
        <f t="shared" si="34"/>
        <v>0</v>
      </c>
    </row>
    <row r="82" spans="1:15" ht="16.5" customHeight="1">
      <c r="A82" s="497"/>
      <c r="B82" s="498"/>
      <c r="C82" s="499" t="s">
        <v>92</v>
      </c>
      <c r="D82" s="500"/>
      <c r="E82" s="501">
        <v>2796018</v>
      </c>
      <c r="F82" s="501">
        <f>SUM(H82:O82)</f>
        <v>2796018</v>
      </c>
      <c r="G82" s="501">
        <f t="shared" si="33"/>
        <v>100</v>
      </c>
      <c r="H82" s="501">
        <v>0</v>
      </c>
      <c r="I82" s="501">
        <v>2796018</v>
      </c>
      <c r="J82" s="501">
        <v>0</v>
      </c>
      <c r="K82" s="501">
        <v>0</v>
      </c>
      <c r="L82" s="501">
        <v>0</v>
      </c>
      <c r="M82" s="501">
        <v>0</v>
      </c>
      <c r="N82" s="501">
        <v>0</v>
      </c>
      <c r="O82" s="501">
        <v>0</v>
      </c>
    </row>
    <row r="83" spans="1:15" ht="16.5" customHeight="1">
      <c r="A83" s="493" t="s">
        <v>50</v>
      </c>
      <c r="B83" s="493"/>
      <c r="C83" s="493"/>
      <c r="D83" s="494"/>
      <c r="E83" s="495">
        <f>E84+E87+E93+E103+E106</f>
        <v>404020</v>
      </c>
      <c r="F83" s="495">
        <f>F84+F87+F93+F103+F106</f>
        <v>1480488.51</v>
      </c>
      <c r="G83" s="495">
        <f>F83/E83*100</f>
        <v>366.4394114152765</v>
      </c>
      <c r="H83" s="495">
        <f aca="true" t="shared" si="35" ref="H83:O83">H84+H87+H93+H103+H106</f>
        <v>36254.35</v>
      </c>
      <c r="I83" s="495">
        <f t="shared" si="35"/>
        <v>0</v>
      </c>
      <c r="J83" s="495">
        <f t="shared" si="35"/>
        <v>7399.91</v>
      </c>
      <c r="K83" s="495">
        <f t="shared" si="35"/>
        <v>270104.10000000003</v>
      </c>
      <c r="L83" s="495">
        <f t="shared" si="35"/>
        <v>0</v>
      </c>
      <c r="M83" s="495">
        <f t="shared" si="35"/>
        <v>18529.89</v>
      </c>
      <c r="N83" s="495">
        <f t="shared" si="35"/>
        <v>0</v>
      </c>
      <c r="O83" s="495">
        <f t="shared" si="35"/>
        <v>1148200.26</v>
      </c>
    </row>
    <row r="84" spans="1:15" s="552" customFormat="1" ht="16.5" customHeight="1">
      <c r="A84" s="496"/>
      <c r="B84" s="493" t="s">
        <v>51</v>
      </c>
      <c r="C84" s="493"/>
      <c r="D84" s="494"/>
      <c r="E84" s="755">
        <f>SUM(E85:E86)</f>
        <v>4000</v>
      </c>
      <c r="F84" s="756">
        <f>SUM(F85:F86)</f>
        <v>2246.2400000000002</v>
      </c>
      <c r="G84" s="495">
        <f>F84/E84*100</f>
        <v>56.156000000000006</v>
      </c>
      <c r="H84" s="756">
        <f aca="true" t="shared" si="36" ref="H84:O84">SUM(H85:H86)</f>
        <v>246.33</v>
      </c>
      <c r="I84" s="756">
        <f t="shared" si="36"/>
        <v>0</v>
      </c>
      <c r="J84" s="756">
        <f t="shared" si="36"/>
        <v>1999.91</v>
      </c>
      <c r="K84" s="756">
        <f t="shared" si="36"/>
        <v>0</v>
      </c>
      <c r="L84" s="756">
        <f t="shared" si="36"/>
        <v>0</v>
      </c>
      <c r="M84" s="756">
        <f t="shared" si="36"/>
        <v>0</v>
      </c>
      <c r="N84" s="756">
        <f t="shared" si="36"/>
        <v>0</v>
      </c>
      <c r="O84" s="756">
        <f t="shared" si="36"/>
        <v>0</v>
      </c>
    </row>
    <row r="85" spans="1:15" ht="16.5" customHeight="1">
      <c r="A85" s="497"/>
      <c r="B85" s="498"/>
      <c r="C85" s="499" t="s">
        <v>88</v>
      </c>
      <c r="D85" s="500"/>
      <c r="E85" s="501">
        <v>2000</v>
      </c>
      <c r="F85" s="501">
        <f>SUM(H85:O85)</f>
        <v>246.33</v>
      </c>
      <c r="G85" s="501">
        <f t="shared" si="33"/>
        <v>12.316500000000001</v>
      </c>
      <c r="H85" s="501">
        <v>246.33</v>
      </c>
      <c r="I85" s="501">
        <v>0</v>
      </c>
      <c r="J85" s="501">
        <v>0</v>
      </c>
      <c r="K85" s="501">
        <v>0</v>
      </c>
      <c r="L85" s="501">
        <v>0</v>
      </c>
      <c r="M85" s="501">
        <v>0</v>
      </c>
      <c r="N85" s="501">
        <v>0</v>
      </c>
      <c r="O85" s="501">
        <v>0</v>
      </c>
    </row>
    <row r="86" spans="1:15" ht="16.5" customHeight="1">
      <c r="A86" s="497"/>
      <c r="B86" s="498"/>
      <c r="C86" s="499" t="s">
        <v>506</v>
      </c>
      <c r="D86" s="500"/>
      <c r="E86" s="501">
        <v>2000</v>
      </c>
      <c r="F86" s="501">
        <f>SUM(H86:O86)</f>
        <v>1999.91</v>
      </c>
      <c r="G86" s="501">
        <f>F86/E86*100</f>
        <v>99.9955</v>
      </c>
      <c r="H86" s="501">
        <v>0</v>
      </c>
      <c r="I86" s="501">
        <v>0</v>
      </c>
      <c r="J86" s="501">
        <v>1999.91</v>
      </c>
      <c r="K86" s="501">
        <v>0</v>
      </c>
      <c r="L86" s="501">
        <v>0</v>
      </c>
      <c r="M86" s="501">
        <v>0</v>
      </c>
      <c r="N86" s="501">
        <v>0</v>
      </c>
      <c r="O86" s="501">
        <v>0</v>
      </c>
    </row>
    <row r="87" spans="1:15" ht="16.5" customHeight="1">
      <c r="A87" s="497"/>
      <c r="B87" s="493" t="s">
        <v>55</v>
      </c>
      <c r="C87" s="493"/>
      <c r="D87" s="494"/>
      <c r="E87" s="495">
        <f>SUM(E88:E92)</f>
        <v>5870</v>
      </c>
      <c r="F87" s="495">
        <f>SUM(F88:F92)</f>
        <v>71898.47</v>
      </c>
      <c r="G87" s="495">
        <f t="shared" si="33"/>
        <v>1224.8461669505962</v>
      </c>
      <c r="H87" s="495">
        <f aca="true" t="shared" si="37" ref="H87:O87">SUM(H88:H92)</f>
        <v>4282.7300000000005</v>
      </c>
      <c r="I87" s="495">
        <f t="shared" si="37"/>
        <v>0</v>
      </c>
      <c r="J87" s="495">
        <f t="shared" si="37"/>
        <v>0</v>
      </c>
      <c r="K87" s="495">
        <f t="shared" si="37"/>
        <v>67615.74</v>
      </c>
      <c r="L87" s="495">
        <f t="shared" si="37"/>
        <v>0</v>
      </c>
      <c r="M87" s="495">
        <f t="shared" si="37"/>
        <v>0</v>
      </c>
      <c r="N87" s="495">
        <f t="shared" si="37"/>
        <v>0</v>
      </c>
      <c r="O87" s="495">
        <f t="shared" si="37"/>
        <v>0</v>
      </c>
    </row>
    <row r="88" spans="1:15" ht="16.5" customHeight="1">
      <c r="A88" s="497"/>
      <c r="B88" s="498"/>
      <c r="C88" s="499" t="s">
        <v>171</v>
      </c>
      <c r="D88" s="500"/>
      <c r="E88" s="501">
        <v>2170</v>
      </c>
      <c r="F88" s="501">
        <f>SUM(H88:O88)</f>
        <v>2162.03</v>
      </c>
      <c r="G88" s="501">
        <f>F88/E88*100</f>
        <v>99.63271889400923</v>
      </c>
      <c r="H88" s="501">
        <v>2162.03</v>
      </c>
      <c r="I88" s="501">
        <v>0</v>
      </c>
      <c r="J88" s="501">
        <v>0</v>
      </c>
      <c r="K88" s="501">
        <v>0</v>
      </c>
      <c r="L88" s="501">
        <v>0</v>
      </c>
      <c r="M88" s="501">
        <v>0</v>
      </c>
      <c r="N88" s="501">
        <v>0</v>
      </c>
      <c r="O88" s="501">
        <v>0</v>
      </c>
    </row>
    <row r="89" spans="1:15" ht="16.5" customHeight="1">
      <c r="A89" s="497"/>
      <c r="B89" s="498"/>
      <c r="C89" s="499" t="s">
        <v>88</v>
      </c>
      <c r="D89" s="500"/>
      <c r="E89" s="501">
        <v>3217</v>
      </c>
      <c r="F89" s="501">
        <f>SUM(H89:O89)</f>
        <v>1617.03</v>
      </c>
      <c r="G89" s="501">
        <f t="shared" si="33"/>
        <v>50.265153870065284</v>
      </c>
      <c r="H89" s="501">
        <v>1617.03</v>
      </c>
      <c r="I89" s="501">
        <v>0</v>
      </c>
      <c r="J89" s="501">
        <v>0</v>
      </c>
      <c r="K89" s="501">
        <v>0</v>
      </c>
      <c r="L89" s="501">
        <v>0</v>
      </c>
      <c r="M89" s="501">
        <v>0</v>
      </c>
      <c r="N89" s="501">
        <v>0</v>
      </c>
      <c r="O89" s="501">
        <v>0</v>
      </c>
    </row>
    <row r="90" spans="1:15" ht="16.5" customHeight="1">
      <c r="A90" s="497"/>
      <c r="B90" s="498"/>
      <c r="C90" s="499" t="s">
        <v>89</v>
      </c>
      <c r="D90" s="500"/>
      <c r="E90" s="501">
        <v>483</v>
      </c>
      <c r="F90" s="501">
        <f>SUM(H90:O90)</f>
        <v>482.16</v>
      </c>
      <c r="G90" s="501">
        <f t="shared" si="33"/>
        <v>99.82608695652175</v>
      </c>
      <c r="H90" s="501">
        <v>482.16</v>
      </c>
      <c r="I90" s="501">
        <v>0</v>
      </c>
      <c r="J90" s="501">
        <v>0</v>
      </c>
      <c r="K90" s="501">
        <v>0</v>
      </c>
      <c r="L90" s="501">
        <v>0</v>
      </c>
      <c r="M90" s="501">
        <v>0</v>
      </c>
      <c r="N90" s="501">
        <v>0</v>
      </c>
      <c r="O90" s="501">
        <v>0</v>
      </c>
    </row>
    <row r="91" spans="1:15" ht="16.5" customHeight="1">
      <c r="A91" s="497"/>
      <c r="B91" s="498"/>
      <c r="C91" s="499" t="s">
        <v>268</v>
      </c>
      <c r="D91" s="500"/>
      <c r="E91" s="501">
        <v>0</v>
      </c>
      <c r="F91" s="501">
        <f>SUM(H91:O91)</f>
        <v>67615.74</v>
      </c>
      <c r="G91" s="501"/>
      <c r="H91" s="501">
        <v>0</v>
      </c>
      <c r="I91" s="501">
        <v>0</v>
      </c>
      <c r="J91" s="501">
        <v>0</v>
      </c>
      <c r="K91" s="501">
        <v>67615.74</v>
      </c>
      <c r="L91" s="501">
        <v>0</v>
      </c>
      <c r="M91" s="501">
        <v>0</v>
      </c>
      <c r="N91" s="501">
        <v>0</v>
      </c>
      <c r="O91" s="501">
        <v>0</v>
      </c>
    </row>
    <row r="92" spans="1:15" ht="16.5" customHeight="1">
      <c r="A92" s="497"/>
      <c r="B92" s="498"/>
      <c r="C92" s="499" t="s">
        <v>672</v>
      </c>
      <c r="D92" s="500"/>
      <c r="E92" s="501">
        <v>0</v>
      </c>
      <c r="F92" s="501">
        <f>SUM(H92:O92)</f>
        <v>21.51</v>
      </c>
      <c r="G92" s="501"/>
      <c r="H92" s="501">
        <v>21.51</v>
      </c>
      <c r="I92" s="501">
        <v>0</v>
      </c>
      <c r="J92" s="501">
        <v>0</v>
      </c>
      <c r="K92" s="501">
        <v>0</v>
      </c>
      <c r="L92" s="501">
        <v>0</v>
      </c>
      <c r="M92" s="501">
        <v>0</v>
      </c>
      <c r="N92" s="501">
        <v>0</v>
      </c>
      <c r="O92" s="501">
        <v>0</v>
      </c>
    </row>
    <row r="93" spans="1:15" ht="16.5" customHeight="1">
      <c r="A93" s="497"/>
      <c r="B93" s="493" t="s">
        <v>57</v>
      </c>
      <c r="C93" s="493"/>
      <c r="D93" s="494"/>
      <c r="E93" s="495">
        <f>SUM(E94:E102)</f>
        <v>113387</v>
      </c>
      <c r="F93" s="495">
        <f>SUM(F94:F102)</f>
        <v>1243557.79</v>
      </c>
      <c r="G93" s="495">
        <f aca="true" t="shared" si="38" ref="G93:G101">F93/E93*100</f>
        <v>1096.7375360491062</v>
      </c>
      <c r="H93" s="495">
        <f aca="true" t="shared" si="39" ref="H93:O93">SUM(H94:H102)</f>
        <v>31725.29</v>
      </c>
      <c r="I93" s="495">
        <f t="shared" si="39"/>
        <v>0</v>
      </c>
      <c r="J93" s="495">
        <f t="shared" si="39"/>
        <v>0</v>
      </c>
      <c r="K93" s="495">
        <f t="shared" si="39"/>
        <v>45102.350000000006</v>
      </c>
      <c r="L93" s="495">
        <f t="shared" si="39"/>
        <v>0</v>
      </c>
      <c r="M93" s="495">
        <f t="shared" si="39"/>
        <v>18529.89</v>
      </c>
      <c r="N93" s="495">
        <f t="shared" si="39"/>
        <v>0</v>
      </c>
      <c r="O93" s="495">
        <f t="shared" si="39"/>
        <v>1148200.26</v>
      </c>
    </row>
    <row r="94" spans="1:15" ht="16.5" customHeight="1">
      <c r="A94" s="497"/>
      <c r="B94" s="498"/>
      <c r="C94" s="499" t="s">
        <v>99</v>
      </c>
      <c r="D94" s="500"/>
      <c r="E94" s="501">
        <v>50</v>
      </c>
      <c r="F94" s="501">
        <f aca="true" t="shared" si="40" ref="F94:F99">SUM(H94:O94)</f>
        <v>4</v>
      </c>
      <c r="G94" s="501">
        <f t="shared" si="38"/>
        <v>8</v>
      </c>
      <c r="H94" s="501">
        <v>4</v>
      </c>
      <c r="I94" s="501">
        <v>0</v>
      </c>
      <c r="J94" s="501">
        <v>0</v>
      </c>
      <c r="K94" s="501">
        <v>0</v>
      </c>
      <c r="L94" s="501">
        <v>0</v>
      </c>
      <c r="M94" s="501">
        <v>0</v>
      </c>
      <c r="N94" s="501">
        <v>0</v>
      </c>
      <c r="O94" s="501">
        <v>0</v>
      </c>
    </row>
    <row r="95" spans="1:15" ht="16.5" customHeight="1">
      <c r="A95" s="497"/>
      <c r="B95" s="498"/>
      <c r="C95" s="499" t="s">
        <v>109</v>
      </c>
      <c r="D95" s="500"/>
      <c r="E95" s="501">
        <v>600</v>
      </c>
      <c r="F95" s="501">
        <f t="shared" si="40"/>
        <v>0</v>
      </c>
      <c r="G95" s="501">
        <f>F95/E95*100</f>
        <v>0</v>
      </c>
      <c r="H95" s="501">
        <v>0</v>
      </c>
      <c r="I95" s="501">
        <v>0</v>
      </c>
      <c r="J95" s="501">
        <v>0</v>
      </c>
      <c r="K95" s="501">
        <v>0</v>
      </c>
      <c r="L95" s="501">
        <v>0</v>
      </c>
      <c r="M95" s="501">
        <v>0</v>
      </c>
      <c r="N95" s="501">
        <v>0</v>
      </c>
      <c r="O95" s="501">
        <v>0</v>
      </c>
    </row>
    <row r="96" spans="1:15" ht="16.5" customHeight="1">
      <c r="A96" s="497"/>
      <c r="B96" s="498"/>
      <c r="C96" s="499" t="s">
        <v>103</v>
      </c>
      <c r="D96" s="500"/>
      <c r="E96" s="501">
        <v>19445</v>
      </c>
      <c r="F96" s="501">
        <f t="shared" si="40"/>
        <v>18529.89</v>
      </c>
      <c r="G96" s="501">
        <f t="shared" si="38"/>
        <v>95.2938544613011</v>
      </c>
      <c r="H96" s="501">
        <v>0</v>
      </c>
      <c r="I96" s="501">
        <v>0</v>
      </c>
      <c r="J96" s="501">
        <v>0</v>
      </c>
      <c r="K96" s="501">
        <v>0</v>
      </c>
      <c r="L96" s="501">
        <v>0</v>
      </c>
      <c r="M96" s="501">
        <v>18529.89</v>
      </c>
      <c r="N96" s="501">
        <v>0</v>
      </c>
      <c r="O96" s="501">
        <v>0</v>
      </c>
    </row>
    <row r="97" spans="1:15" ht="16.5" customHeight="1">
      <c r="A97" s="497"/>
      <c r="B97" s="498"/>
      <c r="C97" s="499" t="s">
        <v>88</v>
      </c>
      <c r="D97" s="500"/>
      <c r="E97" s="501">
        <v>5625</v>
      </c>
      <c r="F97" s="501">
        <f t="shared" si="40"/>
        <v>3891.88</v>
      </c>
      <c r="G97" s="501">
        <f t="shared" si="38"/>
        <v>69.18897777777778</v>
      </c>
      <c r="H97" s="501">
        <v>3891.88</v>
      </c>
      <c r="I97" s="501">
        <v>0</v>
      </c>
      <c r="J97" s="501">
        <v>0</v>
      </c>
      <c r="K97" s="501">
        <v>0</v>
      </c>
      <c r="L97" s="501">
        <v>0</v>
      </c>
      <c r="M97" s="501">
        <v>0</v>
      </c>
      <c r="N97" s="501">
        <v>0</v>
      </c>
      <c r="O97" s="501">
        <v>0</v>
      </c>
    </row>
    <row r="98" spans="1:15" ht="16.5" customHeight="1">
      <c r="A98" s="497"/>
      <c r="B98" s="498"/>
      <c r="C98" s="499" t="s">
        <v>89</v>
      </c>
      <c r="D98" s="500"/>
      <c r="E98" s="501">
        <v>36463</v>
      </c>
      <c r="F98" s="501">
        <f t="shared" si="40"/>
        <v>26914.74</v>
      </c>
      <c r="G98" s="501">
        <f t="shared" si="38"/>
        <v>73.81383868579108</v>
      </c>
      <c r="H98" s="501">
        <v>26914.74</v>
      </c>
      <c r="I98" s="501">
        <v>0</v>
      </c>
      <c r="J98" s="501">
        <v>0</v>
      </c>
      <c r="K98" s="501">
        <v>0</v>
      </c>
      <c r="L98" s="501">
        <v>0</v>
      </c>
      <c r="M98" s="501">
        <v>0</v>
      </c>
      <c r="N98" s="501">
        <v>0</v>
      </c>
      <c r="O98" s="501">
        <v>0</v>
      </c>
    </row>
    <row r="99" spans="1:15" ht="16.5" customHeight="1">
      <c r="A99" s="497"/>
      <c r="B99" s="498"/>
      <c r="C99" s="499" t="s">
        <v>615</v>
      </c>
      <c r="D99" s="500"/>
      <c r="E99" s="501">
        <v>38403</v>
      </c>
      <c r="F99" s="501">
        <f t="shared" si="40"/>
        <v>33826.76</v>
      </c>
      <c r="G99" s="501">
        <f t="shared" si="38"/>
        <v>88.0836392990131</v>
      </c>
      <c r="H99" s="501">
        <v>0</v>
      </c>
      <c r="I99" s="501">
        <v>0</v>
      </c>
      <c r="J99" s="501">
        <v>0</v>
      </c>
      <c r="K99" s="501">
        <v>33826.76</v>
      </c>
      <c r="L99" s="501">
        <v>0</v>
      </c>
      <c r="M99" s="501">
        <v>0</v>
      </c>
      <c r="N99" s="501">
        <v>0</v>
      </c>
      <c r="O99" s="501">
        <v>0</v>
      </c>
    </row>
    <row r="100" spans="1:15" ht="16.5" customHeight="1">
      <c r="A100" s="497"/>
      <c r="B100" s="498"/>
      <c r="C100" s="499" t="s">
        <v>178</v>
      </c>
      <c r="D100" s="500"/>
      <c r="E100" s="501">
        <v>12801</v>
      </c>
      <c r="F100" s="501">
        <f>SUM(H100:O100)</f>
        <v>11275.59</v>
      </c>
      <c r="G100" s="501">
        <f t="shared" si="38"/>
        <v>88.08366533864542</v>
      </c>
      <c r="H100" s="501">
        <v>0</v>
      </c>
      <c r="I100" s="501">
        <v>0</v>
      </c>
      <c r="J100" s="501">
        <v>0</v>
      </c>
      <c r="K100" s="501">
        <v>11275.59</v>
      </c>
      <c r="L100" s="501">
        <v>0</v>
      </c>
      <c r="M100" s="501">
        <v>0</v>
      </c>
      <c r="N100" s="501">
        <v>0</v>
      </c>
      <c r="O100" s="501">
        <v>0</v>
      </c>
    </row>
    <row r="101" spans="1:15" ht="16.5" customHeight="1">
      <c r="A101" s="497"/>
      <c r="B101" s="498"/>
      <c r="C101" s="499" t="s">
        <v>672</v>
      </c>
      <c r="D101" s="500"/>
      <c r="E101" s="501">
        <v>0</v>
      </c>
      <c r="F101" s="501">
        <f>SUM(H101:O101)</f>
        <v>914.67</v>
      </c>
      <c r="G101" s="501"/>
      <c r="H101" s="501">
        <v>914.67</v>
      </c>
      <c r="I101" s="501">
        <v>0</v>
      </c>
      <c r="J101" s="501">
        <v>0</v>
      </c>
      <c r="K101" s="501">
        <v>0</v>
      </c>
      <c r="L101" s="501">
        <v>0</v>
      </c>
      <c r="M101" s="501">
        <v>0</v>
      </c>
      <c r="N101" s="501">
        <v>0</v>
      </c>
      <c r="O101" s="501">
        <v>0</v>
      </c>
    </row>
    <row r="102" spans="1:15" ht="16.5" customHeight="1">
      <c r="A102" s="497"/>
      <c r="B102" s="498"/>
      <c r="C102" s="499" t="s">
        <v>265</v>
      </c>
      <c r="D102" s="500"/>
      <c r="E102" s="501">
        <v>0</v>
      </c>
      <c r="F102" s="501">
        <f>SUM(H102:O102)</f>
        <v>1148200.26</v>
      </c>
      <c r="G102" s="501"/>
      <c r="H102" s="501">
        <v>0</v>
      </c>
      <c r="I102" s="501">
        <v>0</v>
      </c>
      <c r="J102" s="501">
        <v>0</v>
      </c>
      <c r="K102" s="501">
        <v>0</v>
      </c>
      <c r="L102" s="501">
        <v>0</v>
      </c>
      <c r="M102" s="501">
        <v>0</v>
      </c>
      <c r="N102" s="501">
        <v>0</v>
      </c>
      <c r="O102" s="501">
        <v>1148200.26</v>
      </c>
    </row>
    <row r="103" spans="1:15" ht="16.5" customHeight="1">
      <c r="A103" s="497"/>
      <c r="B103" s="493" t="s">
        <v>349</v>
      </c>
      <c r="C103" s="493"/>
      <c r="D103" s="494"/>
      <c r="E103" s="495">
        <f>SUM(E104:E105)</f>
        <v>262563</v>
      </c>
      <c r="F103" s="495">
        <f>SUM(F104:F105)</f>
        <v>157386.01</v>
      </c>
      <c r="G103" s="495">
        <f aca="true" t="shared" si="41" ref="G103:G108">F103/E103*100</f>
        <v>59.94218911270819</v>
      </c>
      <c r="H103" s="495">
        <f aca="true" t="shared" si="42" ref="H103:O103">SUM(H104:H105)</f>
        <v>0</v>
      </c>
      <c r="I103" s="495">
        <f t="shared" si="42"/>
        <v>0</v>
      </c>
      <c r="J103" s="495">
        <f t="shared" si="42"/>
        <v>0</v>
      </c>
      <c r="K103" s="495">
        <f t="shared" si="42"/>
        <v>157386.01</v>
      </c>
      <c r="L103" s="495">
        <f t="shared" si="42"/>
        <v>0</v>
      </c>
      <c r="M103" s="495">
        <f t="shared" si="42"/>
        <v>0</v>
      </c>
      <c r="N103" s="495">
        <f t="shared" si="42"/>
        <v>0</v>
      </c>
      <c r="O103" s="495">
        <f t="shared" si="42"/>
        <v>0</v>
      </c>
    </row>
    <row r="104" spans="1:15" ht="16.5" customHeight="1">
      <c r="A104" s="497"/>
      <c r="B104" s="498"/>
      <c r="C104" s="499" t="s">
        <v>268</v>
      </c>
      <c r="D104" s="500"/>
      <c r="E104" s="501">
        <v>223179</v>
      </c>
      <c r="F104" s="501">
        <f>SUM(H104:O104)</f>
        <v>126770.15</v>
      </c>
      <c r="G104" s="501">
        <f t="shared" si="41"/>
        <v>56.80200646118138</v>
      </c>
      <c r="H104" s="501">
        <v>0</v>
      </c>
      <c r="I104" s="501">
        <v>0</v>
      </c>
      <c r="J104" s="501">
        <v>0</v>
      </c>
      <c r="K104" s="501">
        <v>126770.15</v>
      </c>
      <c r="L104" s="501">
        <v>0</v>
      </c>
      <c r="M104" s="501">
        <v>0</v>
      </c>
      <c r="N104" s="501">
        <v>0</v>
      </c>
      <c r="O104" s="501">
        <v>0</v>
      </c>
    </row>
    <row r="105" spans="1:15" ht="16.5" customHeight="1">
      <c r="A105" s="497"/>
      <c r="B105" s="498"/>
      <c r="C105" s="499" t="s">
        <v>178</v>
      </c>
      <c r="D105" s="500"/>
      <c r="E105" s="501">
        <v>39384</v>
      </c>
      <c r="F105" s="501">
        <f>SUM(H105:O105)</f>
        <v>30615.86</v>
      </c>
      <c r="G105" s="501">
        <f t="shared" si="41"/>
        <v>77.73679666869795</v>
      </c>
      <c r="H105" s="501">
        <v>0</v>
      </c>
      <c r="I105" s="501">
        <v>0</v>
      </c>
      <c r="J105" s="501">
        <v>0</v>
      </c>
      <c r="K105" s="501">
        <v>30615.86</v>
      </c>
      <c r="L105" s="501">
        <v>0</v>
      </c>
      <c r="M105" s="501">
        <v>0</v>
      </c>
      <c r="N105" s="501">
        <v>0</v>
      </c>
      <c r="O105" s="501">
        <v>0</v>
      </c>
    </row>
    <row r="106" spans="1:15" ht="16.5" customHeight="1">
      <c r="A106" s="497"/>
      <c r="B106" s="493" t="s">
        <v>350</v>
      </c>
      <c r="C106" s="493"/>
      <c r="D106" s="494"/>
      <c r="E106" s="495">
        <f>SUM(E107:E108)</f>
        <v>18200</v>
      </c>
      <c r="F106" s="495">
        <f>SUM(F107:F108)</f>
        <v>5400</v>
      </c>
      <c r="G106" s="495">
        <f t="shared" si="41"/>
        <v>29.67032967032967</v>
      </c>
      <c r="H106" s="495">
        <f aca="true" t="shared" si="43" ref="H106:O106">SUM(H107:H108)</f>
        <v>0</v>
      </c>
      <c r="I106" s="495">
        <f t="shared" si="43"/>
        <v>0</v>
      </c>
      <c r="J106" s="495">
        <f t="shared" si="43"/>
        <v>5400</v>
      </c>
      <c r="K106" s="495">
        <f t="shared" si="43"/>
        <v>0</v>
      </c>
      <c r="L106" s="495">
        <f t="shared" si="43"/>
        <v>0</v>
      </c>
      <c r="M106" s="495">
        <f t="shared" si="43"/>
        <v>0</v>
      </c>
      <c r="N106" s="495">
        <f t="shared" si="43"/>
        <v>0</v>
      </c>
      <c r="O106" s="495">
        <f t="shared" si="43"/>
        <v>0</v>
      </c>
    </row>
    <row r="107" spans="1:15" ht="16.5" customHeight="1">
      <c r="A107" s="497"/>
      <c r="B107" s="498"/>
      <c r="C107" s="499" t="s">
        <v>382</v>
      </c>
      <c r="D107" s="500"/>
      <c r="E107" s="501">
        <v>12800</v>
      </c>
      <c r="F107" s="501">
        <f>SUM(H107:O107)</f>
        <v>0</v>
      </c>
      <c r="G107" s="501">
        <f t="shared" si="41"/>
        <v>0</v>
      </c>
      <c r="H107" s="501">
        <v>0</v>
      </c>
      <c r="I107" s="501">
        <v>0</v>
      </c>
      <c r="J107" s="501">
        <v>0</v>
      </c>
      <c r="K107" s="501">
        <v>0</v>
      </c>
      <c r="L107" s="501">
        <v>0</v>
      </c>
      <c r="M107" s="501">
        <v>0</v>
      </c>
      <c r="N107" s="501">
        <v>0</v>
      </c>
      <c r="O107" s="501">
        <v>0</v>
      </c>
    </row>
    <row r="108" spans="1:15" ht="16.5" customHeight="1">
      <c r="A108" s="497"/>
      <c r="B108" s="498"/>
      <c r="C108" s="499" t="s">
        <v>139</v>
      </c>
      <c r="D108" s="500"/>
      <c r="E108" s="501">
        <v>5400</v>
      </c>
      <c r="F108" s="501">
        <f>SUM(H108:O108)</f>
        <v>5400</v>
      </c>
      <c r="G108" s="501">
        <f t="shared" si="41"/>
        <v>100</v>
      </c>
      <c r="H108" s="501">
        <v>0</v>
      </c>
      <c r="I108" s="501">
        <v>0</v>
      </c>
      <c r="J108" s="501">
        <v>5400</v>
      </c>
      <c r="K108" s="501">
        <v>0</v>
      </c>
      <c r="L108" s="501">
        <v>0</v>
      </c>
      <c r="M108" s="501">
        <v>0</v>
      </c>
      <c r="N108" s="501">
        <v>0</v>
      </c>
      <c r="O108" s="501">
        <v>0</v>
      </c>
    </row>
    <row r="109" spans="1:15" ht="16.5" customHeight="1">
      <c r="A109" s="493" t="s">
        <v>41</v>
      </c>
      <c r="B109" s="493"/>
      <c r="C109" s="493"/>
      <c r="D109" s="494"/>
      <c r="E109" s="495">
        <f>E110+E112</f>
        <v>0</v>
      </c>
      <c r="F109" s="495">
        <f>F110+F112</f>
        <v>4605.38</v>
      </c>
      <c r="G109" s="495"/>
      <c r="H109" s="495">
        <f aca="true" t="shared" si="44" ref="H109:O109">H110+H112</f>
        <v>1.96</v>
      </c>
      <c r="I109" s="495">
        <f t="shared" si="44"/>
        <v>0</v>
      </c>
      <c r="J109" s="495">
        <f t="shared" si="44"/>
        <v>0</v>
      </c>
      <c r="K109" s="495">
        <f t="shared" si="44"/>
        <v>4603.42</v>
      </c>
      <c r="L109" s="495">
        <f t="shared" si="44"/>
        <v>0</v>
      </c>
      <c r="M109" s="495">
        <f t="shared" si="44"/>
        <v>0</v>
      </c>
      <c r="N109" s="495">
        <f t="shared" si="44"/>
        <v>0</v>
      </c>
      <c r="O109" s="495">
        <f t="shared" si="44"/>
        <v>0</v>
      </c>
    </row>
    <row r="110" spans="1:15" ht="16.5" customHeight="1">
      <c r="A110" s="497"/>
      <c r="B110" s="493" t="s">
        <v>42</v>
      </c>
      <c r="C110" s="493"/>
      <c r="D110" s="494"/>
      <c r="E110" s="495">
        <f>SUM(E111:E111)</f>
        <v>0</v>
      </c>
      <c r="F110" s="495">
        <f>SUM(F111:F111)</f>
        <v>1.96</v>
      </c>
      <c r="G110" s="495"/>
      <c r="H110" s="495">
        <f aca="true" t="shared" si="45" ref="H110:O112">SUM(H111:H111)</f>
        <v>1.96</v>
      </c>
      <c r="I110" s="495">
        <f t="shared" si="45"/>
        <v>0</v>
      </c>
      <c r="J110" s="495">
        <f t="shared" si="45"/>
        <v>0</v>
      </c>
      <c r="K110" s="495">
        <f t="shared" si="45"/>
        <v>0</v>
      </c>
      <c r="L110" s="495">
        <f t="shared" si="45"/>
        <v>0</v>
      </c>
      <c r="M110" s="495">
        <f t="shared" si="45"/>
        <v>0</v>
      </c>
      <c r="N110" s="495">
        <f t="shared" si="45"/>
        <v>0</v>
      </c>
      <c r="O110" s="495">
        <f t="shared" si="45"/>
        <v>0</v>
      </c>
    </row>
    <row r="111" spans="1:15" ht="16.5" customHeight="1">
      <c r="A111" s="497"/>
      <c r="B111" s="498"/>
      <c r="C111" s="499" t="s">
        <v>85</v>
      </c>
      <c r="D111" s="500"/>
      <c r="E111" s="501">
        <v>0</v>
      </c>
      <c r="F111" s="501">
        <f>SUM(H111:O111)</f>
        <v>1.96</v>
      </c>
      <c r="G111" s="501"/>
      <c r="H111" s="501">
        <v>1.96</v>
      </c>
      <c r="I111" s="501">
        <v>0</v>
      </c>
      <c r="J111" s="501">
        <v>0</v>
      </c>
      <c r="K111" s="501">
        <v>0</v>
      </c>
      <c r="L111" s="501">
        <v>0</v>
      </c>
      <c r="M111" s="501">
        <v>0</v>
      </c>
      <c r="N111" s="501">
        <v>0</v>
      </c>
      <c r="O111" s="501">
        <v>0</v>
      </c>
    </row>
    <row r="112" spans="1:15" ht="16.5" customHeight="1">
      <c r="A112" s="497"/>
      <c r="B112" s="493" t="s">
        <v>82</v>
      </c>
      <c r="C112" s="493"/>
      <c r="D112" s="494"/>
      <c r="E112" s="495">
        <f>SUM(E113:E113)</f>
        <v>0</v>
      </c>
      <c r="F112" s="495">
        <f>SUM(F113:F113)</f>
        <v>4603.42</v>
      </c>
      <c r="G112" s="495"/>
      <c r="H112" s="495">
        <f t="shared" si="45"/>
        <v>0</v>
      </c>
      <c r="I112" s="495">
        <f t="shared" si="45"/>
        <v>0</v>
      </c>
      <c r="J112" s="495">
        <f t="shared" si="45"/>
        <v>0</v>
      </c>
      <c r="K112" s="495">
        <f t="shared" si="45"/>
        <v>4603.42</v>
      </c>
      <c r="L112" s="495">
        <f t="shared" si="45"/>
        <v>0</v>
      </c>
      <c r="M112" s="495">
        <f t="shared" si="45"/>
        <v>0</v>
      </c>
      <c r="N112" s="495">
        <f t="shared" si="45"/>
        <v>0</v>
      </c>
      <c r="O112" s="495">
        <f t="shared" si="45"/>
        <v>0</v>
      </c>
    </row>
    <row r="113" spans="1:15" ht="16.5" customHeight="1">
      <c r="A113" s="497"/>
      <c r="B113" s="498"/>
      <c r="C113" s="499" t="s">
        <v>178</v>
      </c>
      <c r="D113" s="500"/>
      <c r="E113" s="501">
        <v>0</v>
      </c>
      <c r="F113" s="501">
        <f>SUM(H113:O113)</f>
        <v>4603.42</v>
      </c>
      <c r="G113" s="501"/>
      <c r="H113" s="501">
        <v>0</v>
      </c>
      <c r="I113" s="501">
        <v>0</v>
      </c>
      <c r="J113" s="501">
        <v>0</v>
      </c>
      <c r="K113" s="501">
        <v>4603.42</v>
      </c>
      <c r="L113" s="501">
        <v>0</v>
      </c>
      <c r="M113" s="501">
        <v>0</v>
      </c>
      <c r="N113" s="501">
        <v>0</v>
      </c>
      <c r="O113" s="501">
        <v>0</v>
      </c>
    </row>
    <row r="114" spans="1:15" ht="16.5" customHeight="1">
      <c r="A114" s="493" t="s">
        <v>94</v>
      </c>
      <c r="B114" s="493"/>
      <c r="C114" s="493"/>
      <c r="D114" s="494"/>
      <c r="E114" s="495">
        <f>E115+E121+E128+E130</f>
        <v>1261850</v>
      </c>
      <c r="F114" s="495">
        <f>F115+F121+F128+F130</f>
        <v>1305612.72</v>
      </c>
      <c r="G114" s="495">
        <f aca="true" t="shared" si="46" ref="G114:G128">F114/E114*100</f>
        <v>103.46813963624837</v>
      </c>
      <c r="H114" s="495">
        <f aca="true" t="shared" si="47" ref="H114:O114">H115+H121+H128+H130</f>
        <v>920021.3699999999</v>
      </c>
      <c r="I114" s="495">
        <f t="shared" si="47"/>
        <v>0</v>
      </c>
      <c r="J114" s="495">
        <f t="shared" si="47"/>
        <v>385591.35</v>
      </c>
      <c r="K114" s="495">
        <f t="shared" si="47"/>
        <v>0</v>
      </c>
      <c r="L114" s="495">
        <f t="shared" si="47"/>
        <v>0</v>
      </c>
      <c r="M114" s="495">
        <f t="shared" si="47"/>
        <v>0</v>
      </c>
      <c r="N114" s="495">
        <f t="shared" si="47"/>
        <v>0</v>
      </c>
      <c r="O114" s="495">
        <f t="shared" si="47"/>
        <v>0</v>
      </c>
    </row>
    <row r="115" spans="1:15" ht="16.5" customHeight="1">
      <c r="A115" s="496"/>
      <c r="B115" s="493" t="s">
        <v>95</v>
      </c>
      <c r="C115" s="493"/>
      <c r="D115" s="494"/>
      <c r="E115" s="495">
        <f>SUM(E116:E120)</f>
        <v>558114</v>
      </c>
      <c r="F115" s="495">
        <f>SUM(F116:F120)</f>
        <v>557275.35</v>
      </c>
      <c r="G115" s="495">
        <f t="shared" si="46"/>
        <v>99.84973500037626</v>
      </c>
      <c r="H115" s="495">
        <f aca="true" t="shared" si="48" ref="H115:O115">SUM(H116:H120)</f>
        <v>557275.35</v>
      </c>
      <c r="I115" s="495">
        <f t="shared" si="48"/>
        <v>0</v>
      </c>
      <c r="J115" s="495">
        <f t="shared" si="48"/>
        <v>0</v>
      </c>
      <c r="K115" s="495">
        <f t="shared" si="48"/>
        <v>0</v>
      </c>
      <c r="L115" s="495">
        <f t="shared" si="48"/>
        <v>0</v>
      </c>
      <c r="M115" s="495">
        <f t="shared" si="48"/>
        <v>0</v>
      </c>
      <c r="N115" s="495">
        <f t="shared" si="48"/>
        <v>0</v>
      </c>
      <c r="O115" s="495">
        <f t="shared" si="48"/>
        <v>0</v>
      </c>
    </row>
    <row r="116" spans="1:15" ht="16.5" customHeight="1">
      <c r="A116" s="497"/>
      <c r="B116" s="498"/>
      <c r="C116" s="499" t="s">
        <v>166</v>
      </c>
      <c r="D116" s="500"/>
      <c r="E116" s="501">
        <v>3000</v>
      </c>
      <c r="F116" s="501">
        <f>SUM(H116:O116)</f>
        <v>135.18</v>
      </c>
      <c r="G116" s="501">
        <f t="shared" si="46"/>
        <v>4.506</v>
      </c>
      <c r="H116" s="501">
        <v>135.18</v>
      </c>
      <c r="I116" s="501">
        <v>0</v>
      </c>
      <c r="J116" s="501">
        <v>0</v>
      </c>
      <c r="K116" s="501">
        <v>0</v>
      </c>
      <c r="L116" s="501">
        <v>0</v>
      </c>
      <c r="M116" s="501">
        <v>0</v>
      </c>
      <c r="N116" s="501">
        <v>0</v>
      </c>
      <c r="O116" s="501">
        <v>0</v>
      </c>
    </row>
    <row r="117" spans="1:15" ht="16.5" customHeight="1">
      <c r="A117" s="497"/>
      <c r="B117" s="498"/>
      <c r="C117" s="499" t="s">
        <v>88</v>
      </c>
      <c r="D117" s="500"/>
      <c r="E117" s="501">
        <v>1000</v>
      </c>
      <c r="F117" s="501">
        <f>SUM(H117:O117)</f>
        <v>65.81</v>
      </c>
      <c r="G117" s="501">
        <f t="shared" si="46"/>
        <v>6.581</v>
      </c>
      <c r="H117" s="501">
        <v>65.81</v>
      </c>
      <c r="I117" s="501">
        <v>0</v>
      </c>
      <c r="J117" s="501">
        <v>0</v>
      </c>
      <c r="K117" s="501">
        <v>0</v>
      </c>
      <c r="L117" s="501">
        <v>0</v>
      </c>
      <c r="M117" s="501">
        <v>0</v>
      </c>
      <c r="N117" s="501">
        <v>0</v>
      </c>
      <c r="O117" s="501">
        <v>0</v>
      </c>
    </row>
    <row r="118" spans="1:15" ht="16.5" customHeight="1">
      <c r="A118" s="497"/>
      <c r="B118" s="498"/>
      <c r="C118" s="499" t="s">
        <v>460</v>
      </c>
      <c r="D118" s="500"/>
      <c r="E118" s="501">
        <v>9021</v>
      </c>
      <c r="F118" s="501">
        <f>SUM(H118:O118)</f>
        <v>9121.02</v>
      </c>
      <c r="G118" s="501">
        <f t="shared" si="46"/>
        <v>101.10874625872964</v>
      </c>
      <c r="H118" s="501">
        <v>9121.02</v>
      </c>
      <c r="I118" s="501">
        <v>0</v>
      </c>
      <c r="J118" s="501">
        <v>0</v>
      </c>
      <c r="K118" s="501">
        <v>0</v>
      </c>
      <c r="L118" s="501">
        <v>0</v>
      </c>
      <c r="M118" s="501">
        <v>0</v>
      </c>
      <c r="N118" s="501">
        <v>0</v>
      </c>
      <c r="O118" s="501">
        <v>0</v>
      </c>
    </row>
    <row r="119" spans="1:15" ht="16.5" customHeight="1">
      <c r="A119" s="497"/>
      <c r="B119" s="498"/>
      <c r="C119" s="499" t="s">
        <v>89</v>
      </c>
      <c r="D119" s="500"/>
      <c r="E119" s="501">
        <v>0</v>
      </c>
      <c r="F119" s="501">
        <f>SUM(H119:O119)</f>
        <v>2169.1</v>
      </c>
      <c r="G119" s="501"/>
      <c r="H119" s="501">
        <v>2169.1</v>
      </c>
      <c r="I119" s="501">
        <v>0</v>
      </c>
      <c r="J119" s="501">
        <v>0</v>
      </c>
      <c r="K119" s="501">
        <v>0</v>
      </c>
      <c r="L119" s="501">
        <v>0</v>
      </c>
      <c r="M119" s="501">
        <v>0</v>
      </c>
      <c r="N119" s="501">
        <v>0</v>
      </c>
      <c r="O119" s="501">
        <v>0</v>
      </c>
    </row>
    <row r="120" spans="1:15" ht="16.5" customHeight="1">
      <c r="A120" s="497"/>
      <c r="B120" s="498"/>
      <c r="C120" s="499" t="s">
        <v>339</v>
      </c>
      <c r="D120" s="500"/>
      <c r="E120" s="501">
        <v>545093</v>
      </c>
      <c r="F120" s="501">
        <f>SUM(H120:O120)</f>
        <v>545784.24</v>
      </c>
      <c r="G120" s="501">
        <f t="shared" si="46"/>
        <v>100.12681138814845</v>
      </c>
      <c r="H120" s="501">
        <v>545784.24</v>
      </c>
      <c r="I120" s="501">
        <v>0</v>
      </c>
      <c r="J120" s="501">
        <v>0</v>
      </c>
      <c r="K120" s="501">
        <v>0</v>
      </c>
      <c r="L120" s="501">
        <v>0</v>
      </c>
      <c r="M120" s="501">
        <v>0</v>
      </c>
      <c r="N120" s="501">
        <v>0</v>
      </c>
      <c r="O120" s="501">
        <v>0</v>
      </c>
    </row>
    <row r="121" spans="1:15" ht="16.5" customHeight="1">
      <c r="A121" s="496"/>
      <c r="B121" s="493" t="s">
        <v>98</v>
      </c>
      <c r="C121" s="493"/>
      <c r="D121" s="494"/>
      <c r="E121" s="495">
        <f>SUM(E122:E127)</f>
        <v>701783</v>
      </c>
      <c r="F121" s="495">
        <f>SUM(F122:F127)</f>
        <v>747191.41</v>
      </c>
      <c r="G121" s="495">
        <f t="shared" si="46"/>
        <v>106.47043459302947</v>
      </c>
      <c r="H121" s="495">
        <f aca="true" t="shared" si="49" ref="H121:O121">SUM(H122:H127)</f>
        <v>362553.06</v>
      </c>
      <c r="I121" s="495">
        <f t="shared" si="49"/>
        <v>0</v>
      </c>
      <c r="J121" s="495">
        <f t="shared" si="49"/>
        <v>384638.35</v>
      </c>
      <c r="K121" s="495">
        <f t="shared" si="49"/>
        <v>0</v>
      </c>
      <c r="L121" s="495">
        <f t="shared" si="49"/>
        <v>0</v>
      </c>
      <c r="M121" s="495">
        <f t="shared" si="49"/>
        <v>0</v>
      </c>
      <c r="N121" s="495">
        <f t="shared" si="49"/>
        <v>0</v>
      </c>
      <c r="O121" s="495">
        <f t="shared" si="49"/>
        <v>0</v>
      </c>
    </row>
    <row r="122" spans="1:15" ht="16.5" customHeight="1">
      <c r="A122" s="497"/>
      <c r="B122" s="498"/>
      <c r="C122" s="499" t="s">
        <v>166</v>
      </c>
      <c r="D122" s="500"/>
      <c r="E122" s="501">
        <v>15000</v>
      </c>
      <c r="F122" s="501">
        <f aca="true" t="shared" si="50" ref="F122:F127">SUM(H122:O122)</f>
        <v>900</v>
      </c>
      <c r="G122" s="501">
        <f t="shared" si="46"/>
        <v>6</v>
      </c>
      <c r="H122" s="501">
        <v>900</v>
      </c>
      <c r="I122" s="501">
        <v>0</v>
      </c>
      <c r="J122" s="501">
        <v>0</v>
      </c>
      <c r="K122" s="501">
        <v>0</v>
      </c>
      <c r="L122" s="501">
        <v>0</v>
      </c>
      <c r="M122" s="501">
        <v>0</v>
      </c>
      <c r="N122" s="501">
        <v>0</v>
      </c>
      <c r="O122" s="501">
        <v>0</v>
      </c>
    </row>
    <row r="123" spans="1:15" ht="16.5" customHeight="1">
      <c r="A123" s="497"/>
      <c r="B123" s="498"/>
      <c r="C123" s="499" t="s">
        <v>88</v>
      </c>
      <c r="D123" s="500"/>
      <c r="E123" s="501"/>
      <c r="F123" s="501">
        <f t="shared" si="50"/>
        <v>1218.62</v>
      </c>
      <c r="G123" s="501"/>
      <c r="H123" s="501">
        <v>1218.62</v>
      </c>
      <c r="I123" s="501">
        <v>0</v>
      </c>
      <c r="J123" s="501">
        <v>0</v>
      </c>
      <c r="K123" s="501">
        <v>0</v>
      </c>
      <c r="L123" s="501">
        <v>0</v>
      </c>
      <c r="M123" s="501">
        <v>0</v>
      </c>
      <c r="N123" s="501">
        <v>0</v>
      </c>
      <c r="O123" s="501">
        <v>0</v>
      </c>
    </row>
    <row r="124" spans="1:15" ht="16.5" customHeight="1">
      <c r="A124" s="497"/>
      <c r="B124" s="498"/>
      <c r="C124" s="499" t="s">
        <v>506</v>
      </c>
      <c r="D124" s="500"/>
      <c r="E124" s="501">
        <v>56250</v>
      </c>
      <c r="F124" s="501">
        <f t="shared" si="50"/>
        <v>56250</v>
      </c>
      <c r="G124" s="501">
        <f>F124/E124*100</f>
        <v>100</v>
      </c>
      <c r="H124" s="501">
        <v>0</v>
      </c>
      <c r="I124" s="501">
        <v>0</v>
      </c>
      <c r="J124" s="501">
        <v>56250</v>
      </c>
      <c r="K124" s="501">
        <v>0</v>
      </c>
      <c r="L124" s="501">
        <v>0</v>
      </c>
      <c r="M124" s="501">
        <v>0</v>
      </c>
      <c r="N124" s="501">
        <v>0</v>
      </c>
      <c r="O124" s="501">
        <v>0</v>
      </c>
    </row>
    <row r="125" spans="1:15" ht="16.5" customHeight="1">
      <c r="A125" s="497"/>
      <c r="B125" s="498"/>
      <c r="C125" s="499" t="s">
        <v>100</v>
      </c>
      <c r="D125" s="500"/>
      <c r="E125" s="501">
        <v>307000</v>
      </c>
      <c r="F125" s="501">
        <f t="shared" si="50"/>
        <v>328388.35</v>
      </c>
      <c r="G125" s="501">
        <f>F125/E125*100</f>
        <v>106.96688925081432</v>
      </c>
      <c r="H125" s="501">
        <v>0</v>
      </c>
      <c r="I125" s="501">
        <v>0</v>
      </c>
      <c r="J125" s="501">
        <v>328388.35</v>
      </c>
      <c r="K125" s="501">
        <v>0</v>
      </c>
      <c r="L125" s="501">
        <v>0</v>
      </c>
      <c r="M125" s="501">
        <v>0</v>
      </c>
      <c r="N125" s="501">
        <v>0</v>
      </c>
      <c r="O125" s="501">
        <v>0</v>
      </c>
    </row>
    <row r="126" spans="1:15" ht="16.5" customHeight="1">
      <c r="A126" s="497"/>
      <c r="B126" s="498"/>
      <c r="C126" s="499" t="s">
        <v>339</v>
      </c>
      <c r="D126" s="500"/>
      <c r="E126" s="501">
        <v>323533</v>
      </c>
      <c r="F126" s="501">
        <f t="shared" si="50"/>
        <v>349964.88</v>
      </c>
      <c r="G126" s="501">
        <f>F126/E126*100</f>
        <v>108.16976320808078</v>
      </c>
      <c r="H126" s="501">
        <v>349964.88</v>
      </c>
      <c r="I126" s="501">
        <v>0</v>
      </c>
      <c r="J126" s="501">
        <v>0</v>
      </c>
      <c r="K126" s="501">
        <v>0</v>
      </c>
      <c r="L126" s="501">
        <v>0</v>
      </c>
      <c r="M126" s="501">
        <v>0</v>
      </c>
      <c r="N126" s="501">
        <v>0</v>
      </c>
      <c r="O126" s="501">
        <v>0</v>
      </c>
    </row>
    <row r="127" spans="1:15" ht="16.5" customHeight="1">
      <c r="A127" s="497"/>
      <c r="B127" s="498"/>
      <c r="C127" s="499" t="s">
        <v>628</v>
      </c>
      <c r="D127" s="500"/>
      <c r="E127" s="501">
        <v>0</v>
      </c>
      <c r="F127" s="501">
        <f t="shared" si="50"/>
        <v>10469.56</v>
      </c>
      <c r="G127" s="501"/>
      <c r="H127" s="501">
        <v>10469.56</v>
      </c>
      <c r="I127" s="501">
        <v>0</v>
      </c>
      <c r="J127" s="501">
        <v>0</v>
      </c>
      <c r="K127" s="501">
        <v>0</v>
      </c>
      <c r="L127" s="501">
        <v>0</v>
      </c>
      <c r="M127" s="501">
        <v>0</v>
      </c>
      <c r="N127" s="501">
        <v>0</v>
      </c>
      <c r="O127" s="501">
        <v>0</v>
      </c>
    </row>
    <row r="128" spans="1:15" ht="16.5" customHeight="1">
      <c r="A128" s="496"/>
      <c r="B128" s="493" t="s">
        <v>96</v>
      </c>
      <c r="C128" s="493"/>
      <c r="D128" s="494"/>
      <c r="E128" s="495">
        <f>SUM(E129:E132)</f>
        <v>1953</v>
      </c>
      <c r="F128" s="495">
        <f>SUM(F129:F132)</f>
        <v>1145.96</v>
      </c>
      <c r="G128" s="495">
        <f t="shared" si="46"/>
        <v>58.676907322068615</v>
      </c>
      <c r="H128" s="495">
        <f aca="true" t="shared" si="51" ref="H128:O128">SUM(H129:H132)</f>
        <v>192.96</v>
      </c>
      <c r="I128" s="495">
        <f t="shared" si="51"/>
        <v>0</v>
      </c>
      <c r="J128" s="495">
        <f t="shared" si="51"/>
        <v>953</v>
      </c>
      <c r="K128" s="495">
        <f t="shared" si="51"/>
        <v>0</v>
      </c>
      <c r="L128" s="495">
        <f t="shared" si="51"/>
        <v>0</v>
      </c>
      <c r="M128" s="495">
        <f t="shared" si="51"/>
        <v>0</v>
      </c>
      <c r="N128" s="495">
        <f t="shared" si="51"/>
        <v>0</v>
      </c>
      <c r="O128" s="495">
        <f t="shared" si="51"/>
        <v>0</v>
      </c>
    </row>
    <row r="129" spans="1:15" ht="16.5" customHeight="1">
      <c r="A129" s="497"/>
      <c r="B129" s="498"/>
      <c r="C129" s="499" t="s">
        <v>88</v>
      </c>
      <c r="D129" s="500"/>
      <c r="E129" s="501">
        <v>1000</v>
      </c>
      <c r="F129" s="501">
        <f>SUM(H129:O129)</f>
        <v>192.96</v>
      </c>
      <c r="G129" s="501">
        <f aca="true" t="shared" si="52" ref="G129:G138">F129/E129*100</f>
        <v>19.296000000000003</v>
      </c>
      <c r="H129" s="501">
        <v>192.96</v>
      </c>
      <c r="I129" s="501">
        <v>0</v>
      </c>
      <c r="J129" s="501">
        <v>0</v>
      </c>
      <c r="K129" s="501">
        <v>0</v>
      </c>
      <c r="L129" s="501">
        <v>0</v>
      </c>
      <c r="M129" s="501">
        <v>0</v>
      </c>
      <c r="N129" s="501">
        <v>0</v>
      </c>
      <c r="O129" s="501">
        <v>0</v>
      </c>
    </row>
    <row r="130" spans="1:15" ht="16.5" customHeight="1" hidden="1">
      <c r="A130" s="497"/>
      <c r="B130" s="493" t="s">
        <v>522</v>
      </c>
      <c r="C130" s="493"/>
      <c r="D130" s="494"/>
      <c r="E130" s="495">
        <f>SUM(E131:E131)</f>
        <v>0</v>
      </c>
      <c r="F130" s="495">
        <f>SUM(F131:F131)</f>
        <v>0</v>
      </c>
      <c r="G130" s="495" t="e">
        <f t="shared" si="52"/>
        <v>#DIV/0!</v>
      </c>
      <c r="H130" s="495">
        <f aca="true" t="shared" si="53" ref="H130:O130">SUM(H131:H131)</f>
        <v>0</v>
      </c>
      <c r="I130" s="495">
        <f t="shared" si="53"/>
        <v>0</v>
      </c>
      <c r="J130" s="495">
        <f t="shared" si="53"/>
        <v>0</v>
      </c>
      <c r="K130" s="495">
        <f t="shared" si="53"/>
        <v>0</v>
      </c>
      <c r="L130" s="495">
        <f t="shared" si="53"/>
        <v>0</v>
      </c>
      <c r="M130" s="495">
        <f t="shared" si="53"/>
        <v>0</v>
      </c>
      <c r="N130" s="495">
        <f t="shared" si="53"/>
        <v>0</v>
      </c>
      <c r="O130" s="495">
        <f t="shared" si="53"/>
        <v>0</v>
      </c>
    </row>
    <row r="131" spans="1:15" ht="16.5" customHeight="1" hidden="1">
      <c r="A131" s="497"/>
      <c r="B131" s="498"/>
      <c r="C131" s="499" t="s">
        <v>372</v>
      </c>
      <c r="D131" s="500"/>
      <c r="E131" s="501"/>
      <c r="F131" s="501">
        <f>SUM(H131:O131)</f>
        <v>0</v>
      </c>
      <c r="G131" s="501" t="e">
        <f t="shared" si="52"/>
        <v>#DIV/0!</v>
      </c>
      <c r="H131" s="501">
        <v>0</v>
      </c>
      <c r="I131" s="501">
        <v>0</v>
      </c>
      <c r="J131" s="501">
        <v>0</v>
      </c>
      <c r="K131" s="501">
        <v>0</v>
      </c>
      <c r="L131" s="501">
        <v>0</v>
      </c>
      <c r="M131" s="501">
        <v>0</v>
      </c>
      <c r="N131" s="501">
        <v>0</v>
      </c>
      <c r="O131" s="501">
        <v>0</v>
      </c>
    </row>
    <row r="132" spans="1:15" ht="16.5" customHeight="1">
      <c r="A132" s="497"/>
      <c r="B132" s="498"/>
      <c r="C132" s="499" t="s">
        <v>506</v>
      </c>
      <c r="D132" s="500"/>
      <c r="E132" s="501">
        <v>953</v>
      </c>
      <c r="F132" s="501">
        <f>SUM(H132:O132)</f>
        <v>953</v>
      </c>
      <c r="G132" s="501">
        <f>F132/E132*100</f>
        <v>100</v>
      </c>
      <c r="H132" s="501">
        <v>0</v>
      </c>
      <c r="I132" s="501">
        <v>0</v>
      </c>
      <c r="J132" s="501">
        <v>953</v>
      </c>
      <c r="K132" s="501">
        <v>0</v>
      </c>
      <c r="L132" s="501">
        <v>0</v>
      </c>
      <c r="M132" s="501">
        <v>0</v>
      </c>
      <c r="N132" s="501">
        <v>0</v>
      </c>
      <c r="O132" s="501">
        <v>0</v>
      </c>
    </row>
    <row r="133" spans="1:15" ht="16.5" customHeight="1">
      <c r="A133" s="493" t="s">
        <v>28</v>
      </c>
      <c r="B133" s="493"/>
      <c r="C133" s="493"/>
      <c r="D133" s="494"/>
      <c r="E133" s="495">
        <f>E134+E137+E139+E145</f>
        <v>1526362</v>
      </c>
      <c r="F133" s="495">
        <f>F134+F137+F139+F145</f>
        <v>1270341.9100000001</v>
      </c>
      <c r="G133" s="495">
        <f t="shared" si="52"/>
        <v>83.22677778927937</v>
      </c>
      <c r="H133" s="495">
        <f aca="true" t="shared" si="54" ref="H133:O133">H134+H137+H139+H145</f>
        <v>767690.65</v>
      </c>
      <c r="I133" s="495">
        <f t="shared" si="54"/>
        <v>0</v>
      </c>
      <c r="J133" s="495">
        <f t="shared" si="54"/>
        <v>51000</v>
      </c>
      <c r="K133" s="495">
        <f t="shared" si="54"/>
        <v>451651.26</v>
      </c>
      <c r="L133" s="495">
        <f t="shared" si="54"/>
        <v>0</v>
      </c>
      <c r="M133" s="495">
        <f t="shared" si="54"/>
        <v>0</v>
      </c>
      <c r="N133" s="495">
        <f t="shared" si="54"/>
        <v>0</v>
      </c>
      <c r="O133" s="495">
        <f t="shared" si="54"/>
        <v>0</v>
      </c>
    </row>
    <row r="134" spans="1:15" ht="16.5" customHeight="1">
      <c r="A134" s="496"/>
      <c r="B134" s="493" t="s">
        <v>76</v>
      </c>
      <c r="C134" s="493"/>
      <c r="D134" s="494"/>
      <c r="E134" s="495">
        <f>SUM(E135:E136)</f>
        <v>54010</v>
      </c>
      <c r="F134" s="495">
        <f>SUM(F135:F136)</f>
        <v>52499.65</v>
      </c>
      <c r="G134" s="495">
        <f t="shared" si="52"/>
        <v>97.20357341233105</v>
      </c>
      <c r="H134" s="495">
        <f aca="true" t="shared" si="55" ref="H134:O134">SUM(H135:H136)</f>
        <v>1499.65</v>
      </c>
      <c r="I134" s="495">
        <f t="shared" si="55"/>
        <v>0</v>
      </c>
      <c r="J134" s="495">
        <f t="shared" si="55"/>
        <v>51000</v>
      </c>
      <c r="K134" s="495">
        <f t="shared" si="55"/>
        <v>0</v>
      </c>
      <c r="L134" s="495">
        <f t="shared" si="55"/>
        <v>0</v>
      </c>
      <c r="M134" s="495">
        <f t="shared" si="55"/>
        <v>0</v>
      </c>
      <c r="N134" s="495">
        <f t="shared" si="55"/>
        <v>0</v>
      </c>
      <c r="O134" s="495">
        <f t="shared" si="55"/>
        <v>0</v>
      </c>
    </row>
    <row r="135" spans="1:15" ht="16.5" customHeight="1">
      <c r="A135" s="496"/>
      <c r="B135" s="508"/>
      <c r="C135" s="499" t="s">
        <v>85</v>
      </c>
      <c r="D135" s="500"/>
      <c r="E135" s="501">
        <v>3010</v>
      </c>
      <c r="F135" s="501">
        <f>SUM(H135:O135)</f>
        <v>1499.65</v>
      </c>
      <c r="G135" s="501">
        <f>F135/E135*100</f>
        <v>49.82225913621263</v>
      </c>
      <c r="H135" s="501">
        <v>1499.65</v>
      </c>
      <c r="I135" s="501">
        <v>0</v>
      </c>
      <c r="J135" s="501">
        <v>0</v>
      </c>
      <c r="K135" s="501">
        <v>0</v>
      </c>
      <c r="L135" s="501">
        <v>0</v>
      </c>
      <c r="M135" s="501">
        <v>0</v>
      </c>
      <c r="N135" s="501">
        <v>0</v>
      </c>
      <c r="O135" s="501">
        <v>0</v>
      </c>
    </row>
    <row r="136" spans="1:15" ht="16.5" customHeight="1">
      <c r="A136" s="497"/>
      <c r="B136" s="498"/>
      <c r="C136" s="499" t="s">
        <v>139</v>
      </c>
      <c r="D136" s="500"/>
      <c r="E136" s="501">
        <v>51000</v>
      </c>
      <c r="F136" s="501">
        <f>SUM(H136:O136)</f>
        <v>51000</v>
      </c>
      <c r="G136" s="501">
        <f t="shared" si="52"/>
        <v>100</v>
      </c>
      <c r="H136" s="501">
        <v>0</v>
      </c>
      <c r="I136" s="501">
        <v>0</v>
      </c>
      <c r="J136" s="501">
        <v>51000</v>
      </c>
      <c r="K136" s="501">
        <v>0</v>
      </c>
      <c r="L136" s="501">
        <v>0</v>
      </c>
      <c r="M136" s="501">
        <v>0</v>
      </c>
      <c r="N136" s="501">
        <v>0</v>
      </c>
      <c r="O136" s="501">
        <v>0</v>
      </c>
    </row>
    <row r="137" spans="1:15" ht="16.5" customHeight="1">
      <c r="A137" s="496"/>
      <c r="B137" s="493" t="s">
        <v>179</v>
      </c>
      <c r="C137" s="493"/>
      <c r="D137" s="494"/>
      <c r="E137" s="495">
        <f>SUM(E138:E138)</f>
        <v>34733</v>
      </c>
      <c r="F137" s="495">
        <f>SUM(F138:F138)</f>
        <v>46455</v>
      </c>
      <c r="G137" s="495">
        <f t="shared" si="52"/>
        <v>133.7488843462989</v>
      </c>
      <c r="H137" s="495">
        <f aca="true" t="shared" si="56" ref="H137:O137">SUM(H138:H138)</f>
        <v>46455</v>
      </c>
      <c r="I137" s="495">
        <f t="shared" si="56"/>
        <v>0</v>
      </c>
      <c r="J137" s="495">
        <f t="shared" si="56"/>
        <v>0</v>
      </c>
      <c r="K137" s="495">
        <f t="shared" si="56"/>
        <v>0</v>
      </c>
      <c r="L137" s="495">
        <f t="shared" si="56"/>
        <v>0</v>
      </c>
      <c r="M137" s="495">
        <f t="shared" si="56"/>
        <v>0</v>
      </c>
      <c r="N137" s="495">
        <f t="shared" si="56"/>
        <v>0</v>
      </c>
      <c r="O137" s="495">
        <f t="shared" si="56"/>
        <v>0</v>
      </c>
    </row>
    <row r="138" spans="1:15" ht="16.5" customHeight="1">
      <c r="A138" s="497"/>
      <c r="B138" s="498"/>
      <c r="C138" s="499" t="s">
        <v>89</v>
      </c>
      <c r="D138" s="500"/>
      <c r="E138" s="501">
        <v>34733</v>
      </c>
      <c r="F138" s="501">
        <f>SUM(H138:O138)</f>
        <v>46455</v>
      </c>
      <c r="G138" s="501">
        <f t="shared" si="52"/>
        <v>133.7488843462989</v>
      </c>
      <c r="H138" s="501">
        <v>46455</v>
      </c>
      <c r="I138" s="501">
        <v>0</v>
      </c>
      <c r="J138" s="501">
        <v>0</v>
      </c>
      <c r="K138" s="501">
        <v>0</v>
      </c>
      <c r="L138" s="501">
        <v>0</v>
      </c>
      <c r="M138" s="501">
        <v>0</v>
      </c>
      <c r="N138" s="501">
        <v>0</v>
      </c>
      <c r="O138" s="501">
        <v>0</v>
      </c>
    </row>
    <row r="139" spans="1:15" ht="16.5" customHeight="1">
      <c r="A139" s="496"/>
      <c r="B139" s="493" t="s">
        <v>30</v>
      </c>
      <c r="C139" s="493"/>
      <c r="D139" s="494"/>
      <c r="E139" s="495">
        <f>SUM(E140:E144)</f>
        <v>857204</v>
      </c>
      <c r="F139" s="495">
        <f>SUM(F140:F144)</f>
        <v>799872.0700000001</v>
      </c>
      <c r="G139" s="495">
        <f aca="true" t="shared" si="57" ref="G139:G145">F139/E139*100</f>
        <v>93.31175192836245</v>
      </c>
      <c r="H139" s="495">
        <f aca="true" t="shared" si="58" ref="H139:O139">SUM(H140:H144)</f>
        <v>719568.42</v>
      </c>
      <c r="I139" s="495">
        <f t="shared" si="58"/>
        <v>0</v>
      </c>
      <c r="J139" s="495">
        <f t="shared" si="58"/>
        <v>0</v>
      </c>
      <c r="K139" s="495">
        <f t="shared" si="58"/>
        <v>80303.65000000001</v>
      </c>
      <c r="L139" s="495">
        <f t="shared" si="58"/>
        <v>0</v>
      </c>
      <c r="M139" s="495">
        <f t="shared" si="58"/>
        <v>0</v>
      </c>
      <c r="N139" s="495">
        <f t="shared" si="58"/>
        <v>0</v>
      </c>
      <c r="O139" s="495">
        <f t="shared" si="58"/>
        <v>0</v>
      </c>
    </row>
    <row r="140" spans="1:15" ht="16.5" customHeight="1">
      <c r="A140" s="497"/>
      <c r="B140" s="498"/>
      <c r="C140" s="499" t="s">
        <v>88</v>
      </c>
      <c r="D140" s="500"/>
      <c r="E140" s="501">
        <v>80</v>
      </c>
      <c r="F140" s="501">
        <f>SUM(H140:O140)</f>
        <v>84.45</v>
      </c>
      <c r="G140" s="501">
        <f t="shared" si="57"/>
        <v>105.5625</v>
      </c>
      <c r="H140" s="501">
        <v>84.45</v>
      </c>
      <c r="I140" s="501">
        <v>0</v>
      </c>
      <c r="J140" s="501">
        <v>0</v>
      </c>
      <c r="K140" s="501">
        <v>0</v>
      </c>
      <c r="L140" s="501">
        <v>0</v>
      </c>
      <c r="M140" s="501">
        <v>0</v>
      </c>
      <c r="N140" s="501">
        <v>0</v>
      </c>
      <c r="O140" s="501">
        <v>0</v>
      </c>
    </row>
    <row r="141" spans="1:15" ht="16.5" customHeight="1">
      <c r="A141" s="497"/>
      <c r="B141" s="498"/>
      <c r="C141" s="499" t="s">
        <v>89</v>
      </c>
      <c r="D141" s="500"/>
      <c r="E141" s="501">
        <v>10688</v>
      </c>
      <c r="F141" s="501">
        <f>SUM(H141:O141)</f>
        <v>10683.97</v>
      </c>
      <c r="G141" s="501">
        <f t="shared" si="57"/>
        <v>99.96229416167665</v>
      </c>
      <c r="H141" s="501">
        <v>10683.97</v>
      </c>
      <c r="I141" s="501">
        <v>0</v>
      </c>
      <c r="J141" s="501">
        <v>0</v>
      </c>
      <c r="K141" s="501">
        <v>0</v>
      </c>
      <c r="L141" s="501">
        <v>0</v>
      </c>
      <c r="M141" s="501">
        <v>0</v>
      </c>
      <c r="N141" s="501">
        <v>0</v>
      </c>
      <c r="O141" s="501">
        <v>0</v>
      </c>
    </row>
    <row r="142" spans="1:15" ht="16.5" customHeight="1">
      <c r="A142" s="497"/>
      <c r="B142" s="498"/>
      <c r="C142" s="499" t="s">
        <v>268</v>
      </c>
      <c r="D142" s="500"/>
      <c r="E142" s="501">
        <v>115372</v>
      </c>
      <c r="F142" s="501">
        <f>SUM(H142:O142)</f>
        <v>66640.05</v>
      </c>
      <c r="G142" s="501">
        <f t="shared" si="57"/>
        <v>57.76102520542247</v>
      </c>
      <c r="H142" s="501">
        <v>0</v>
      </c>
      <c r="I142" s="501">
        <v>0</v>
      </c>
      <c r="J142" s="501">
        <v>0</v>
      </c>
      <c r="K142" s="501">
        <v>66640.05</v>
      </c>
      <c r="L142" s="501">
        <v>0</v>
      </c>
      <c r="M142" s="501">
        <v>0</v>
      </c>
      <c r="N142" s="501">
        <v>0</v>
      </c>
      <c r="O142" s="501">
        <v>0</v>
      </c>
    </row>
    <row r="143" spans="1:15" ht="16.5" customHeight="1">
      <c r="A143" s="497"/>
      <c r="B143" s="498"/>
      <c r="C143" s="499" t="s">
        <v>178</v>
      </c>
      <c r="D143" s="500"/>
      <c r="E143" s="501">
        <v>22264</v>
      </c>
      <c r="F143" s="501">
        <f>SUM(H143:O143)</f>
        <v>13663.6</v>
      </c>
      <c r="G143" s="501">
        <f>F143/E143*100</f>
        <v>61.37082285303629</v>
      </c>
      <c r="H143" s="501">
        <v>0</v>
      </c>
      <c r="I143" s="501">
        <v>0</v>
      </c>
      <c r="J143" s="501">
        <v>0</v>
      </c>
      <c r="K143" s="501">
        <v>13663.6</v>
      </c>
      <c r="L143" s="501">
        <v>0</v>
      </c>
      <c r="M143" s="501">
        <v>0</v>
      </c>
      <c r="N143" s="501">
        <v>0</v>
      </c>
      <c r="O143" s="501">
        <v>0</v>
      </c>
    </row>
    <row r="144" spans="1:15" ht="16.5" customHeight="1">
      <c r="A144" s="497"/>
      <c r="B144" s="498"/>
      <c r="C144" s="499" t="s">
        <v>140</v>
      </c>
      <c r="D144" s="500"/>
      <c r="E144" s="501">
        <v>708800</v>
      </c>
      <c r="F144" s="501">
        <f>SUM(H144:O144)</f>
        <v>708800</v>
      </c>
      <c r="G144" s="501">
        <f t="shared" si="57"/>
        <v>100</v>
      </c>
      <c r="H144" s="501">
        <v>708800</v>
      </c>
      <c r="I144" s="501">
        <v>0</v>
      </c>
      <c r="J144" s="501">
        <v>0</v>
      </c>
      <c r="K144" s="501">
        <v>0</v>
      </c>
      <c r="L144" s="501">
        <v>0</v>
      </c>
      <c r="M144" s="501">
        <v>0</v>
      </c>
      <c r="N144" s="501">
        <v>0</v>
      </c>
      <c r="O144" s="501">
        <v>0</v>
      </c>
    </row>
    <row r="145" spans="1:15" ht="16.5" customHeight="1">
      <c r="A145" s="496"/>
      <c r="B145" s="493" t="s">
        <v>177</v>
      </c>
      <c r="C145" s="493"/>
      <c r="D145" s="494"/>
      <c r="E145" s="495">
        <f>SUM(E146:E150)</f>
        <v>580415</v>
      </c>
      <c r="F145" s="495">
        <f>SUM(F146:F150)</f>
        <v>371515.19000000006</v>
      </c>
      <c r="G145" s="495">
        <f t="shared" si="57"/>
        <v>64.00854388670176</v>
      </c>
      <c r="H145" s="495">
        <f aca="true" t="shared" si="59" ref="H145:O145">SUM(H146:H150)</f>
        <v>167.58</v>
      </c>
      <c r="I145" s="495">
        <f t="shared" si="59"/>
        <v>0</v>
      </c>
      <c r="J145" s="495">
        <f t="shared" si="59"/>
        <v>0</v>
      </c>
      <c r="K145" s="495">
        <f t="shared" si="59"/>
        <v>371347.61</v>
      </c>
      <c r="L145" s="495">
        <f t="shared" si="59"/>
        <v>0</v>
      </c>
      <c r="M145" s="495">
        <f t="shared" si="59"/>
        <v>0</v>
      </c>
      <c r="N145" s="495">
        <f t="shared" si="59"/>
        <v>0</v>
      </c>
      <c r="O145" s="495">
        <f t="shared" si="59"/>
        <v>0</v>
      </c>
    </row>
    <row r="146" spans="1:15" ht="16.5" customHeight="1">
      <c r="A146" s="497"/>
      <c r="B146" s="498"/>
      <c r="C146" s="499" t="s">
        <v>88</v>
      </c>
      <c r="D146" s="500"/>
      <c r="E146" s="501">
        <v>0</v>
      </c>
      <c r="F146" s="501">
        <f>SUM(H146:O146)</f>
        <v>167.58</v>
      </c>
      <c r="G146" s="501"/>
      <c r="H146" s="501">
        <v>167.58</v>
      </c>
      <c r="I146" s="501">
        <v>0</v>
      </c>
      <c r="J146" s="501">
        <v>0</v>
      </c>
      <c r="K146" s="501">
        <v>0</v>
      </c>
      <c r="L146" s="501">
        <v>0</v>
      </c>
      <c r="M146" s="501">
        <v>0</v>
      </c>
      <c r="N146" s="501">
        <v>0</v>
      </c>
      <c r="O146" s="501">
        <v>0</v>
      </c>
    </row>
    <row r="147" spans="1:15" ht="16.5" customHeight="1">
      <c r="A147" s="497"/>
      <c r="B147" s="498"/>
      <c r="C147" s="499" t="s">
        <v>268</v>
      </c>
      <c r="D147" s="500"/>
      <c r="E147" s="501">
        <v>505683</v>
      </c>
      <c r="F147" s="501">
        <f>SUM(H147:O147)</f>
        <v>322829.83</v>
      </c>
      <c r="G147" s="501">
        <f>F147/E147*100</f>
        <v>63.84035650793086</v>
      </c>
      <c r="H147" s="501">
        <v>0</v>
      </c>
      <c r="I147" s="501">
        <v>0</v>
      </c>
      <c r="J147" s="501">
        <v>0</v>
      </c>
      <c r="K147" s="501">
        <v>322829.83</v>
      </c>
      <c r="L147" s="501">
        <v>0</v>
      </c>
      <c r="M147" s="501">
        <v>0</v>
      </c>
      <c r="N147" s="501">
        <v>0</v>
      </c>
      <c r="O147" s="501">
        <v>0</v>
      </c>
    </row>
    <row r="148" spans="1:15" ht="16.5" customHeight="1">
      <c r="A148" s="497"/>
      <c r="B148" s="498"/>
      <c r="C148" s="499" t="s">
        <v>178</v>
      </c>
      <c r="D148" s="500"/>
      <c r="E148" s="501">
        <v>74732</v>
      </c>
      <c r="F148" s="501">
        <f>SUM(H148:O148)</f>
        <v>48517.78</v>
      </c>
      <c r="G148" s="501">
        <f>F148/E148*100</f>
        <v>64.92236257560349</v>
      </c>
      <c r="H148" s="501">
        <v>0</v>
      </c>
      <c r="I148" s="501">
        <v>0</v>
      </c>
      <c r="J148" s="501">
        <v>0</v>
      </c>
      <c r="K148" s="501">
        <v>48517.78</v>
      </c>
      <c r="L148" s="501">
        <v>0</v>
      </c>
      <c r="M148" s="501">
        <v>0</v>
      </c>
      <c r="N148" s="501">
        <v>0</v>
      </c>
      <c r="O148" s="501">
        <v>0</v>
      </c>
    </row>
    <row r="149" spans="1:15" ht="16.5" customHeight="1" hidden="1">
      <c r="A149" s="497"/>
      <c r="B149" s="498"/>
      <c r="C149" s="499" t="s">
        <v>265</v>
      </c>
      <c r="D149" s="500"/>
      <c r="E149" s="501"/>
      <c r="F149" s="501">
        <f>SUM(H149:O149)</f>
        <v>0</v>
      </c>
      <c r="G149" s="501"/>
      <c r="H149" s="501">
        <v>0</v>
      </c>
      <c r="I149" s="501">
        <v>0</v>
      </c>
      <c r="J149" s="501">
        <v>0</v>
      </c>
      <c r="K149" s="501">
        <v>0</v>
      </c>
      <c r="L149" s="501">
        <v>0</v>
      </c>
      <c r="M149" s="501">
        <v>0</v>
      </c>
      <c r="N149" s="501">
        <v>0</v>
      </c>
      <c r="O149" s="501"/>
    </row>
    <row r="150" spans="1:15" ht="16.5" customHeight="1" hidden="1">
      <c r="A150" s="497"/>
      <c r="B150" s="498"/>
      <c r="C150" s="499" t="s">
        <v>373</v>
      </c>
      <c r="D150" s="500"/>
      <c r="E150" s="501"/>
      <c r="F150" s="501">
        <f>SUM(H150:O150)</f>
        <v>0</v>
      </c>
      <c r="G150" s="501"/>
      <c r="H150" s="501">
        <v>0</v>
      </c>
      <c r="I150" s="501">
        <v>0</v>
      </c>
      <c r="J150" s="501">
        <v>0</v>
      </c>
      <c r="K150" s="501">
        <v>0</v>
      </c>
      <c r="L150" s="501">
        <v>0</v>
      </c>
      <c r="M150" s="501">
        <v>0</v>
      </c>
      <c r="N150" s="501">
        <v>0</v>
      </c>
      <c r="O150" s="501"/>
    </row>
    <row r="151" spans="1:15" ht="16.5" customHeight="1">
      <c r="A151" s="493" t="s">
        <v>59</v>
      </c>
      <c r="B151" s="493"/>
      <c r="C151" s="493"/>
      <c r="D151" s="494"/>
      <c r="E151" s="495">
        <f>E152+E159</f>
        <v>79947</v>
      </c>
      <c r="F151" s="495">
        <f>F152+F159</f>
        <v>87448.71</v>
      </c>
      <c r="G151" s="495">
        <f aca="true" t="shared" si="60" ref="G151:G163">F151/E151*100</f>
        <v>109.38335397200647</v>
      </c>
      <c r="H151" s="495">
        <f aca="true" t="shared" si="61" ref="H151:O151">H152+H159</f>
        <v>87448.71</v>
      </c>
      <c r="I151" s="495">
        <f t="shared" si="61"/>
        <v>0</v>
      </c>
      <c r="J151" s="495">
        <f t="shared" si="61"/>
        <v>0</v>
      </c>
      <c r="K151" s="495">
        <f t="shared" si="61"/>
        <v>0</v>
      </c>
      <c r="L151" s="495">
        <f t="shared" si="61"/>
        <v>0</v>
      </c>
      <c r="M151" s="495">
        <f t="shared" si="61"/>
        <v>0</v>
      </c>
      <c r="N151" s="495">
        <f t="shared" si="61"/>
        <v>0</v>
      </c>
      <c r="O151" s="495">
        <f t="shared" si="61"/>
        <v>0</v>
      </c>
    </row>
    <row r="152" spans="1:15" ht="16.5" customHeight="1">
      <c r="A152" s="496"/>
      <c r="B152" s="493" t="s">
        <v>60</v>
      </c>
      <c r="C152" s="493"/>
      <c r="D152" s="494"/>
      <c r="E152" s="495">
        <f>SUM(E153:E158)</f>
        <v>75767</v>
      </c>
      <c r="F152" s="495">
        <f>SUM(F153:F158)</f>
        <v>83422.96</v>
      </c>
      <c r="G152" s="495">
        <f t="shared" si="60"/>
        <v>110.1046101864928</v>
      </c>
      <c r="H152" s="495">
        <f aca="true" t="shared" si="62" ref="H152:O152">SUM(H153:H158)</f>
        <v>83422.96</v>
      </c>
      <c r="I152" s="495">
        <f t="shared" si="62"/>
        <v>0</v>
      </c>
      <c r="J152" s="495">
        <f t="shared" si="62"/>
        <v>0</v>
      </c>
      <c r="K152" s="495">
        <f t="shared" si="62"/>
        <v>0</v>
      </c>
      <c r="L152" s="495">
        <f t="shared" si="62"/>
        <v>0</v>
      </c>
      <c r="M152" s="495">
        <f t="shared" si="62"/>
        <v>0</v>
      </c>
      <c r="N152" s="495">
        <f t="shared" si="62"/>
        <v>0</v>
      </c>
      <c r="O152" s="495">
        <f t="shared" si="62"/>
        <v>0</v>
      </c>
    </row>
    <row r="153" spans="1:15" ht="16.5" customHeight="1">
      <c r="A153" s="497"/>
      <c r="B153" s="498"/>
      <c r="C153" s="499" t="s">
        <v>99</v>
      </c>
      <c r="D153" s="500"/>
      <c r="E153" s="501">
        <v>20000</v>
      </c>
      <c r="F153" s="501">
        <f aca="true" t="shared" si="63" ref="F153:F158">SUM(H153:O153)</f>
        <v>18859.25</v>
      </c>
      <c r="G153" s="501">
        <f t="shared" si="60"/>
        <v>94.29625</v>
      </c>
      <c r="H153" s="501">
        <v>18859.25</v>
      </c>
      <c r="I153" s="501">
        <v>0</v>
      </c>
      <c r="J153" s="501">
        <v>0</v>
      </c>
      <c r="K153" s="501">
        <v>0</v>
      </c>
      <c r="L153" s="501">
        <v>0</v>
      </c>
      <c r="M153" s="501">
        <v>0</v>
      </c>
      <c r="N153" s="501">
        <v>0</v>
      </c>
      <c r="O153" s="501">
        <v>0</v>
      </c>
    </row>
    <row r="154" spans="1:15" ht="16.5" customHeight="1">
      <c r="A154" s="497"/>
      <c r="B154" s="498"/>
      <c r="C154" s="499" t="s">
        <v>109</v>
      </c>
      <c r="D154" s="500"/>
      <c r="E154" s="501">
        <v>33324</v>
      </c>
      <c r="F154" s="501">
        <f t="shared" si="63"/>
        <v>33323.1</v>
      </c>
      <c r="G154" s="501">
        <f t="shared" si="60"/>
        <v>99.99729924378825</v>
      </c>
      <c r="H154" s="501">
        <v>33323.1</v>
      </c>
      <c r="I154" s="501">
        <v>0</v>
      </c>
      <c r="J154" s="501">
        <v>0</v>
      </c>
      <c r="K154" s="501">
        <v>0</v>
      </c>
      <c r="L154" s="501">
        <v>0</v>
      </c>
      <c r="M154" s="501">
        <v>0</v>
      </c>
      <c r="N154" s="501">
        <v>0</v>
      </c>
      <c r="O154" s="501">
        <v>0</v>
      </c>
    </row>
    <row r="155" spans="1:15" ht="16.5" customHeight="1">
      <c r="A155" s="497"/>
      <c r="B155" s="498"/>
      <c r="C155" s="499" t="s">
        <v>88</v>
      </c>
      <c r="D155" s="500"/>
      <c r="E155" s="501">
        <v>2400</v>
      </c>
      <c r="F155" s="501">
        <f t="shared" si="63"/>
        <v>300.22</v>
      </c>
      <c r="G155" s="501">
        <f t="shared" si="60"/>
        <v>12.509166666666669</v>
      </c>
      <c r="H155" s="501">
        <v>300.22</v>
      </c>
      <c r="I155" s="501">
        <v>0</v>
      </c>
      <c r="J155" s="501">
        <v>0</v>
      </c>
      <c r="K155" s="501">
        <v>0</v>
      </c>
      <c r="L155" s="501">
        <v>0</v>
      </c>
      <c r="M155" s="501">
        <v>0</v>
      </c>
      <c r="N155" s="501">
        <v>0</v>
      </c>
      <c r="O155" s="501">
        <v>0</v>
      </c>
    </row>
    <row r="156" spans="1:15" ht="16.5" customHeight="1">
      <c r="A156" s="497"/>
      <c r="B156" s="498"/>
      <c r="C156" s="499" t="s">
        <v>89</v>
      </c>
      <c r="D156" s="500"/>
      <c r="E156" s="501">
        <v>3243</v>
      </c>
      <c r="F156" s="501">
        <f t="shared" si="63"/>
        <v>3311.87</v>
      </c>
      <c r="G156" s="501">
        <f t="shared" si="60"/>
        <v>102.12365094048721</v>
      </c>
      <c r="H156" s="501">
        <v>3311.87</v>
      </c>
      <c r="I156" s="501">
        <v>0</v>
      </c>
      <c r="J156" s="501">
        <v>0</v>
      </c>
      <c r="K156" s="501">
        <v>0</v>
      </c>
      <c r="L156" s="501">
        <v>0</v>
      </c>
      <c r="M156" s="501">
        <v>0</v>
      </c>
      <c r="N156" s="501">
        <v>0</v>
      </c>
      <c r="O156" s="501">
        <v>0</v>
      </c>
    </row>
    <row r="157" spans="1:15" ht="16.5" customHeight="1">
      <c r="A157" s="497"/>
      <c r="B157" s="498"/>
      <c r="C157" s="499" t="s">
        <v>672</v>
      </c>
      <c r="D157" s="500"/>
      <c r="E157" s="501">
        <v>0</v>
      </c>
      <c r="F157" s="501">
        <f t="shared" si="63"/>
        <v>27628.52</v>
      </c>
      <c r="G157" s="501"/>
      <c r="H157" s="501">
        <v>27628.52</v>
      </c>
      <c r="I157" s="501">
        <v>0</v>
      </c>
      <c r="J157" s="501">
        <v>0</v>
      </c>
      <c r="K157" s="501">
        <v>0</v>
      </c>
      <c r="L157" s="501">
        <v>0</v>
      </c>
      <c r="M157" s="501">
        <v>0</v>
      </c>
      <c r="N157" s="501">
        <v>0</v>
      </c>
      <c r="O157" s="501">
        <v>0</v>
      </c>
    </row>
    <row r="158" spans="1:15" ht="16.5" customHeight="1">
      <c r="A158" s="497"/>
      <c r="B158" s="498"/>
      <c r="C158" s="499" t="s">
        <v>673</v>
      </c>
      <c r="D158" s="500"/>
      <c r="E158" s="501">
        <v>16800</v>
      </c>
      <c r="F158" s="501">
        <f t="shared" si="63"/>
        <v>0</v>
      </c>
      <c r="G158" s="501">
        <f t="shared" si="60"/>
        <v>0</v>
      </c>
      <c r="H158" s="501">
        <v>0</v>
      </c>
      <c r="I158" s="501">
        <v>0</v>
      </c>
      <c r="J158" s="501">
        <v>0</v>
      </c>
      <c r="K158" s="501">
        <v>0</v>
      </c>
      <c r="L158" s="501">
        <v>0</v>
      </c>
      <c r="M158" s="501">
        <v>0</v>
      </c>
      <c r="N158" s="501">
        <v>0</v>
      </c>
      <c r="O158" s="501">
        <v>0</v>
      </c>
    </row>
    <row r="159" spans="1:15" ht="16.5" customHeight="1">
      <c r="A159" s="497"/>
      <c r="B159" s="493" t="s">
        <v>63</v>
      </c>
      <c r="C159" s="493"/>
      <c r="D159" s="494"/>
      <c r="E159" s="495">
        <f>SUM(E160:E161)</f>
        <v>4180</v>
      </c>
      <c r="F159" s="495">
        <f>SUM(F160:F161)</f>
        <v>4025.75</v>
      </c>
      <c r="G159" s="495">
        <f t="shared" si="60"/>
        <v>96.3098086124402</v>
      </c>
      <c r="H159" s="495">
        <f aca="true" t="shared" si="64" ref="H159:O159">SUM(H160:H161)</f>
        <v>4025.75</v>
      </c>
      <c r="I159" s="495">
        <f t="shared" si="64"/>
        <v>0</v>
      </c>
      <c r="J159" s="495">
        <f t="shared" si="64"/>
        <v>0</v>
      </c>
      <c r="K159" s="495">
        <f t="shared" si="64"/>
        <v>0</v>
      </c>
      <c r="L159" s="495">
        <f t="shared" si="64"/>
        <v>0</v>
      </c>
      <c r="M159" s="495">
        <f t="shared" si="64"/>
        <v>0</v>
      </c>
      <c r="N159" s="495">
        <f t="shared" si="64"/>
        <v>0</v>
      </c>
      <c r="O159" s="495">
        <f t="shared" si="64"/>
        <v>0</v>
      </c>
    </row>
    <row r="160" spans="1:15" ht="16.5" customHeight="1">
      <c r="A160" s="497"/>
      <c r="B160" s="498"/>
      <c r="C160" s="499" t="s">
        <v>88</v>
      </c>
      <c r="D160" s="500"/>
      <c r="E160" s="501">
        <v>320</v>
      </c>
      <c r="F160" s="501">
        <f>SUM(H160:O160)</f>
        <v>166.41</v>
      </c>
      <c r="G160" s="501">
        <f t="shared" si="60"/>
        <v>52.003125</v>
      </c>
      <c r="H160" s="501">
        <v>166.41</v>
      </c>
      <c r="I160" s="501">
        <v>0</v>
      </c>
      <c r="J160" s="501">
        <v>0</v>
      </c>
      <c r="K160" s="501">
        <v>0</v>
      </c>
      <c r="L160" s="501">
        <v>0</v>
      </c>
      <c r="M160" s="501">
        <v>0</v>
      </c>
      <c r="N160" s="501">
        <v>0</v>
      </c>
      <c r="O160" s="501">
        <v>0</v>
      </c>
    </row>
    <row r="161" spans="1:15" ht="16.5" customHeight="1">
      <c r="A161" s="497"/>
      <c r="B161" s="498"/>
      <c r="C161" s="499" t="s">
        <v>89</v>
      </c>
      <c r="D161" s="500"/>
      <c r="E161" s="501">
        <v>3860</v>
      </c>
      <c r="F161" s="501">
        <f>SUM(H161:O161)</f>
        <v>3859.34</v>
      </c>
      <c r="G161" s="501">
        <f t="shared" si="60"/>
        <v>99.98290155440415</v>
      </c>
      <c r="H161" s="501">
        <v>3859.34</v>
      </c>
      <c r="I161" s="501">
        <v>0</v>
      </c>
      <c r="J161" s="501">
        <v>0</v>
      </c>
      <c r="K161" s="501">
        <v>0</v>
      </c>
      <c r="L161" s="501">
        <v>0</v>
      </c>
      <c r="M161" s="501">
        <v>0</v>
      </c>
      <c r="N161" s="501">
        <v>0</v>
      </c>
      <c r="O161" s="501">
        <v>0</v>
      </c>
    </row>
    <row r="162" spans="1:15" ht="16.5" customHeight="1">
      <c r="A162" s="493" t="s">
        <v>273</v>
      </c>
      <c r="B162" s="493"/>
      <c r="C162" s="493"/>
      <c r="D162" s="494"/>
      <c r="E162" s="495">
        <f>E163+E167</f>
        <v>258000</v>
      </c>
      <c r="F162" s="495">
        <f>F163+F167</f>
        <v>244399.53999999998</v>
      </c>
      <c r="G162" s="495">
        <f t="shared" si="60"/>
        <v>94.72850387596898</v>
      </c>
      <c r="H162" s="495">
        <f aca="true" t="shared" si="65" ref="H162:O162">H163+H167</f>
        <v>236399.53999999998</v>
      </c>
      <c r="I162" s="495">
        <f t="shared" si="65"/>
        <v>0</v>
      </c>
      <c r="J162" s="495">
        <f t="shared" si="65"/>
        <v>8000</v>
      </c>
      <c r="K162" s="495">
        <f t="shared" si="65"/>
        <v>0</v>
      </c>
      <c r="L162" s="495">
        <f t="shared" si="65"/>
        <v>0</v>
      </c>
      <c r="M162" s="495">
        <f t="shared" si="65"/>
        <v>0</v>
      </c>
      <c r="N162" s="495">
        <f t="shared" si="65"/>
        <v>0</v>
      </c>
      <c r="O162" s="495">
        <f t="shared" si="65"/>
        <v>0</v>
      </c>
    </row>
    <row r="163" spans="1:15" ht="16.5" customHeight="1">
      <c r="A163" s="496"/>
      <c r="B163" s="493" t="s">
        <v>274</v>
      </c>
      <c r="C163" s="493"/>
      <c r="D163" s="494"/>
      <c r="E163" s="495">
        <f>SUM(E164:E166)</f>
        <v>258000</v>
      </c>
      <c r="F163" s="495">
        <f>SUM(F164:F166)</f>
        <v>244074.03999999998</v>
      </c>
      <c r="G163" s="495">
        <f t="shared" si="60"/>
        <v>94.60234108527132</v>
      </c>
      <c r="H163" s="495">
        <f aca="true" t="shared" si="66" ref="H163:O163">SUM(H164:H166)</f>
        <v>236074.03999999998</v>
      </c>
      <c r="I163" s="495">
        <f t="shared" si="66"/>
        <v>0</v>
      </c>
      <c r="J163" s="495">
        <f t="shared" si="66"/>
        <v>8000</v>
      </c>
      <c r="K163" s="495">
        <f t="shared" si="66"/>
        <v>0</v>
      </c>
      <c r="L163" s="495">
        <f t="shared" si="66"/>
        <v>0</v>
      </c>
      <c r="M163" s="495">
        <f t="shared" si="66"/>
        <v>0</v>
      </c>
      <c r="N163" s="495">
        <f t="shared" si="66"/>
        <v>0</v>
      </c>
      <c r="O163" s="495">
        <f t="shared" si="66"/>
        <v>0</v>
      </c>
    </row>
    <row r="164" spans="1:15" ht="16.5" customHeight="1">
      <c r="A164" s="496"/>
      <c r="B164" s="508"/>
      <c r="C164" s="499" t="s">
        <v>629</v>
      </c>
      <c r="D164" s="500"/>
      <c r="E164" s="501"/>
      <c r="F164" s="501">
        <f>SUM(H164:O164)</f>
        <v>11215.14</v>
      </c>
      <c r="G164" s="501"/>
      <c r="H164" s="501">
        <v>11215.14</v>
      </c>
      <c r="I164" s="501">
        <v>0</v>
      </c>
      <c r="J164" s="501">
        <v>0</v>
      </c>
      <c r="K164" s="501">
        <v>0</v>
      </c>
      <c r="L164" s="501">
        <v>0</v>
      </c>
      <c r="M164" s="501">
        <v>0</v>
      </c>
      <c r="N164" s="501">
        <v>0</v>
      </c>
      <c r="O164" s="501">
        <v>0</v>
      </c>
    </row>
    <row r="165" spans="1:15" ht="16.5" customHeight="1">
      <c r="A165" s="497"/>
      <c r="B165" s="498"/>
      <c r="C165" s="499" t="s">
        <v>99</v>
      </c>
      <c r="D165" s="500"/>
      <c r="E165" s="501">
        <v>250000</v>
      </c>
      <c r="F165" s="501">
        <f>SUM(H165:O165)</f>
        <v>224858.9</v>
      </c>
      <c r="G165" s="501">
        <f>F165/E165*100</f>
        <v>89.94356</v>
      </c>
      <c r="H165" s="501">
        <v>224858.9</v>
      </c>
      <c r="I165" s="501">
        <v>0</v>
      </c>
      <c r="J165" s="501">
        <v>0</v>
      </c>
      <c r="K165" s="501">
        <v>0</v>
      </c>
      <c r="L165" s="501">
        <v>0</v>
      </c>
      <c r="M165" s="501">
        <v>0</v>
      </c>
      <c r="N165" s="501">
        <v>0</v>
      </c>
      <c r="O165" s="501">
        <v>0</v>
      </c>
    </row>
    <row r="166" spans="1:15" ht="16.5" customHeight="1">
      <c r="A166" s="497"/>
      <c r="B166" s="498"/>
      <c r="C166" s="499" t="s">
        <v>613</v>
      </c>
      <c r="D166" s="500"/>
      <c r="E166" s="501">
        <v>8000</v>
      </c>
      <c r="F166" s="501">
        <f>SUM(H166:O166)</f>
        <v>8000</v>
      </c>
      <c r="G166" s="501">
        <f>F166/E166*100</f>
        <v>100</v>
      </c>
      <c r="H166" s="501">
        <v>0</v>
      </c>
      <c r="I166" s="501">
        <v>0</v>
      </c>
      <c r="J166" s="501">
        <v>8000</v>
      </c>
      <c r="K166" s="501">
        <v>0</v>
      </c>
      <c r="L166" s="501">
        <v>0</v>
      </c>
      <c r="M166" s="501">
        <v>0</v>
      </c>
      <c r="N166" s="501">
        <v>0</v>
      </c>
      <c r="O166" s="501">
        <v>0</v>
      </c>
    </row>
    <row r="167" spans="1:15" ht="16.5" customHeight="1">
      <c r="A167" s="497"/>
      <c r="B167" s="493" t="s">
        <v>674</v>
      </c>
      <c r="C167" s="493"/>
      <c r="D167" s="494"/>
      <c r="E167" s="495">
        <f>SUM(E168:E168)</f>
        <v>0</v>
      </c>
      <c r="F167" s="495">
        <f>SUM(F168:F168)</f>
        <v>325.5</v>
      </c>
      <c r="G167" s="495"/>
      <c r="H167" s="495">
        <f aca="true" t="shared" si="67" ref="H167:O167">SUM(H168:H168)</f>
        <v>325.5</v>
      </c>
      <c r="I167" s="495">
        <f t="shared" si="67"/>
        <v>0</v>
      </c>
      <c r="J167" s="495">
        <f t="shared" si="67"/>
        <v>0</v>
      </c>
      <c r="K167" s="495">
        <f t="shared" si="67"/>
        <v>0</v>
      </c>
      <c r="L167" s="495">
        <f t="shared" si="67"/>
        <v>0</v>
      </c>
      <c r="M167" s="495">
        <f t="shared" si="67"/>
        <v>0</v>
      </c>
      <c r="N167" s="495">
        <f t="shared" si="67"/>
        <v>0</v>
      </c>
      <c r="O167" s="495">
        <f t="shared" si="67"/>
        <v>0</v>
      </c>
    </row>
    <row r="168" spans="1:15" ht="16.5" customHeight="1">
      <c r="A168" s="497"/>
      <c r="B168" s="498"/>
      <c r="C168" s="499" t="s">
        <v>85</v>
      </c>
      <c r="D168" s="500"/>
      <c r="E168" s="501">
        <v>0</v>
      </c>
      <c r="F168" s="501">
        <f>SUM(H168:O168)</f>
        <v>325.5</v>
      </c>
      <c r="G168" s="501"/>
      <c r="H168" s="501">
        <v>325.5</v>
      </c>
      <c r="I168" s="501">
        <v>0</v>
      </c>
      <c r="J168" s="501">
        <v>0</v>
      </c>
      <c r="K168" s="501">
        <v>0</v>
      </c>
      <c r="L168" s="501">
        <v>0</v>
      </c>
      <c r="M168" s="501">
        <v>0</v>
      </c>
      <c r="N168" s="501">
        <v>0</v>
      </c>
      <c r="O168" s="501">
        <v>0</v>
      </c>
    </row>
    <row r="169" spans="1:15" ht="16.5" customHeight="1">
      <c r="A169" s="493" t="s">
        <v>67</v>
      </c>
      <c r="B169" s="493"/>
      <c r="C169" s="493"/>
      <c r="D169" s="494"/>
      <c r="E169" s="495">
        <f>E170</f>
        <v>0</v>
      </c>
      <c r="F169" s="495">
        <f>F170</f>
        <v>6811.93</v>
      </c>
      <c r="G169" s="495"/>
      <c r="H169" s="495">
        <f aca="true" t="shared" si="68" ref="H169:O169">H170</f>
        <v>0</v>
      </c>
      <c r="I169" s="495">
        <f t="shared" si="68"/>
        <v>0</v>
      </c>
      <c r="J169" s="495">
        <f t="shared" si="68"/>
        <v>0</v>
      </c>
      <c r="K169" s="495">
        <f t="shared" si="68"/>
        <v>6811.93</v>
      </c>
      <c r="L169" s="495">
        <f t="shared" si="68"/>
        <v>0</v>
      </c>
      <c r="M169" s="495">
        <f t="shared" si="68"/>
        <v>0</v>
      </c>
      <c r="N169" s="495">
        <f t="shared" si="68"/>
        <v>0</v>
      </c>
      <c r="O169" s="495">
        <f t="shared" si="68"/>
        <v>0</v>
      </c>
    </row>
    <row r="170" spans="1:15" ht="16.5" customHeight="1">
      <c r="A170" s="496"/>
      <c r="B170" s="493" t="s">
        <v>275</v>
      </c>
      <c r="C170" s="493"/>
      <c r="D170" s="494"/>
      <c r="E170" s="495">
        <f>SUM(E171:E172)</f>
        <v>0</v>
      </c>
      <c r="F170" s="495">
        <f>SUM(F171:F172)</f>
        <v>6811.93</v>
      </c>
      <c r="G170" s="495"/>
      <c r="H170" s="495">
        <f aca="true" t="shared" si="69" ref="H170:O170">SUM(H171:H172)</f>
        <v>0</v>
      </c>
      <c r="I170" s="495">
        <f t="shared" si="69"/>
        <v>0</v>
      </c>
      <c r="J170" s="495">
        <f t="shared" si="69"/>
        <v>0</v>
      </c>
      <c r="K170" s="495">
        <f t="shared" si="69"/>
        <v>6811.93</v>
      </c>
      <c r="L170" s="495">
        <f t="shared" si="69"/>
        <v>0</v>
      </c>
      <c r="M170" s="495">
        <f t="shared" si="69"/>
        <v>0</v>
      </c>
      <c r="N170" s="495">
        <f t="shared" si="69"/>
        <v>0</v>
      </c>
      <c r="O170" s="495">
        <f t="shared" si="69"/>
        <v>0</v>
      </c>
    </row>
    <row r="171" spans="1:15" ht="16.5" customHeight="1">
      <c r="A171" s="497"/>
      <c r="B171" s="498"/>
      <c r="C171" s="499" t="s">
        <v>268</v>
      </c>
      <c r="D171" s="500"/>
      <c r="E171" s="501"/>
      <c r="F171" s="501">
        <f>SUM(H171:O171)</f>
        <v>4794.42</v>
      </c>
      <c r="G171" s="501"/>
      <c r="H171" s="501">
        <v>0</v>
      </c>
      <c r="I171" s="501">
        <v>0</v>
      </c>
      <c r="J171" s="501">
        <v>0</v>
      </c>
      <c r="K171" s="501">
        <v>4794.42</v>
      </c>
      <c r="L171" s="501">
        <v>0</v>
      </c>
      <c r="M171" s="501">
        <v>0</v>
      </c>
      <c r="N171" s="501">
        <v>0</v>
      </c>
      <c r="O171" s="501">
        <v>0</v>
      </c>
    </row>
    <row r="172" spans="1:15" ht="16.5" customHeight="1" thickBot="1">
      <c r="A172" s="497"/>
      <c r="B172" s="498"/>
      <c r="C172" s="499" t="s">
        <v>178</v>
      </c>
      <c r="D172" s="500"/>
      <c r="E172" s="501"/>
      <c r="F172" s="501">
        <f>SUM(H172:O172)</f>
        <v>2017.51</v>
      </c>
      <c r="G172" s="501"/>
      <c r="H172" s="501">
        <v>0</v>
      </c>
      <c r="I172" s="501">
        <v>0</v>
      </c>
      <c r="J172" s="501">
        <v>0</v>
      </c>
      <c r="K172" s="501">
        <v>2017.51</v>
      </c>
      <c r="L172" s="501">
        <v>0</v>
      </c>
      <c r="M172" s="501">
        <v>0</v>
      </c>
      <c r="N172" s="501">
        <v>0</v>
      </c>
      <c r="O172" s="501">
        <v>0</v>
      </c>
    </row>
    <row r="173" spans="1:15" ht="28.5" customHeight="1" thickBot="1">
      <c r="A173" s="796" t="s">
        <v>263</v>
      </c>
      <c r="B173" s="796"/>
      <c r="C173" s="796"/>
      <c r="D173" s="796"/>
      <c r="E173" s="509">
        <f>E10+E13+E16+E22+E30+E39+E55+E62+E71+E83+E109+E114+E133+E151+E162+E169</f>
        <v>56631536</v>
      </c>
      <c r="F173" s="509">
        <f>F10+F13+F16+F22+F30+F39+F55+F62+F71+F83+F109+F114+F133+F151+F162+F169</f>
        <v>58006045.98</v>
      </c>
      <c r="G173" s="509">
        <f>F173/E173*100</f>
        <v>102.4271105413775</v>
      </c>
      <c r="H173" s="509">
        <f aca="true" t="shared" si="70" ref="H173:O173">H10+H13+H16+H22+H30+H39+H55+H62+H71+H83+H109+H114+H133+H151+H162+H169</f>
        <v>18022371.16</v>
      </c>
      <c r="I173" s="509">
        <f t="shared" si="70"/>
        <v>34693797</v>
      </c>
      <c r="J173" s="509">
        <f t="shared" si="70"/>
        <v>466831.99</v>
      </c>
      <c r="K173" s="509">
        <f t="shared" si="70"/>
        <v>741276.63</v>
      </c>
      <c r="L173" s="509">
        <f t="shared" si="70"/>
        <v>0</v>
      </c>
      <c r="M173" s="509">
        <f t="shared" si="70"/>
        <v>226058.37</v>
      </c>
      <c r="N173" s="509">
        <f t="shared" si="70"/>
        <v>2707510.57</v>
      </c>
      <c r="O173" s="509">
        <f t="shared" si="70"/>
        <v>1148200.26</v>
      </c>
    </row>
    <row r="174" spans="1:15" ht="34.5" customHeight="1" thickBot="1">
      <c r="A174" s="797" t="s">
        <v>264</v>
      </c>
      <c r="B174" s="798"/>
      <c r="C174" s="798"/>
      <c r="D174" s="798"/>
      <c r="E174" s="799"/>
      <c r="F174" s="510"/>
      <c r="G174" s="511"/>
      <c r="H174" s="800">
        <f>SUM(H173:K173)</f>
        <v>53924276.78</v>
      </c>
      <c r="I174" s="800"/>
      <c r="J174" s="800"/>
      <c r="K174" s="800"/>
      <c r="L174" s="800">
        <f>SUM(L173:O173)</f>
        <v>4081769.2</v>
      </c>
      <c r="M174" s="800"/>
      <c r="N174" s="800"/>
      <c r="O174" s="800"/>
    </row>
    <row r="175" spans="9:14" ht="12.75">
      <c r="I175" s="512"/>
      <c r="J175" s="512"/>
      <c r="K175" s="512"/>
      <c r="L175" s="512"/>
      <c r="M175" s="512"/>
      <c r="N175" s="512"/>
    </row>
    <row r="176" spans="9:14" ht="12.75">
      <c r="I176" s="512"/>
      <c r="N176" s="512"/>
    </row>
  </sheetData>
  <sheetProtection/>
  <mergeCells count="16">
    <mergeCell ref="H7:O7"/>
    <mergeCell ref="L8:O8"/>
    <mergeCell ref="A173:D173"/>
    <mergeCell ref="A174:E174"/>
    <mergeCell ref="H174:K174"/>
    <mergeCell ref="L174:O174"/>
    <mergeCell ref="K1:O1"/>
    <mergeCell ref="A7:A9"/>
    <mergeCell ref="B7:B9"/>
    <mergeCell ref="C7:C9"/>
    <mergeCell ref="E7:E9"/>
    <mergeCell ref="F7:F9"/>
    <mergeCell ref="H8:K8"/>
    <mergeCell ref="A2:O2"/>
    <mergeCell ref="A3:O3"/>
    <mergeCell ref="G7:G9"/>
  </mergeCells>
  <printOptions horizontalCentered="1"/>
  <pageMargins left="0.2755905511811024" right="0.2755905511811024" top="0.5118110236220472" bottom="0.5118110236220472" header="0.5118110236220472" footer="0"/>
  <pageSetup firstPageNumber="65" useFirstPageNumber="1" horizontalDpi="600" verticalDpi="600" orientation="landscape" paperSize="9" scale="90" r:id="rId1"/>
  <headerFooter alignWithMargins="0">
    <oddFooter>&amp;L&amp;P</oddFooter>
  </headerFooter>
  <rowBreaks count="2" manualBreakCount="2">
    <brk id="33" max="255" man="1"/>
    <brk id="1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6">
      <selection activeCell="C19" sqref="C19"/>
    </sheetView>
  </sheetViews>
  <sheetFormatPr defaultColWidth="9.00390625" defaultRowHeight="12.75"/>
  <cols>
    <col min="1" max="1" width="6.00390625" style="149" customWidth="1"/>
    <col min="2" max="2" width="38.25390625" style="149" customWidth="1"/>
    <col min="3" max="3" width="25.375" style="149" customWidth="1"/>
    <col min="4" max="16384" width="9.125" style="149" customWidth="1"/>
  </cols>
  <sheetData>
    <row r="1" ht="12.75">
      <c r="C1" s="270" t="s">
        <v>371</v>
      </c>
    </row>
    <row r="2" ht="12.75">
      <c r="C2" s="270"/>
    </row>
    <row r="3" ht="12.75">
      <c r="C3" s="270"/>
    </row>
    <row r="4" spans="1:3" ht="27.75" customHeight="1">
      <c r="A4" s="864" t="s">
        <v>552</v>
      </c>
      <c r="B4" s="864"/>
      <c r="C4" s="864"/>
    </row>
    <row r="5" spans="1:3" ht="27.75" customHeight="1">
      <c r="A5" s="864" t="s">
        <v>638</v>
      </c>
      <c r="B5" s="864"/>
      <c r="C5" s="864"/>
    </row>
    <row r="6" spans="1:3" ht="16.5" customHeight="1" thickBot="1">
      <c r="A6" s="271"/>
      <c r="B6" s="271"/>
      <c r="C6" s="271"/>
    </row>
    <row r="7" spans="1:3" ht="24.75" customHeight="1">
      <c r="A7" s="865" t="s">
        <v>553</v>
      </c>
      <c r="B7" s="867" t="s">
        <v>554</v>
      </c>
      <c r="C7" s="869" t="s">
        <v>555</v>
      </c>
    </row>
    <row r="8" spans="1:3" ht="51" customHeight="1" thickBot="1">
      <c r="A8" s="866"/>
      <c r="B8" s="868"/>
      <c r="C8" s="870"/>
    </row>
    <row r="9" spans="1:3" s="150" customFormat="1" ht="31.5" customHeight="1">
      <c r="A9" s="272" t="s">
        <v>194</v>
      </c>
      <c r="B9" s="273" t="s">
        <v>556</v>
      </c>
      <c r="C9" s="274">
        <f>SUM(C10:C11)</f>
        <v>0</v>
      </c>
    </row>
    <row r="10" spans="1:3" ht="24.75" customHeight="1">
      <c r="A10" s="275"/>
      <c r="B10" s="276" t="s">
        <v>557</v>
      </c>
      <c r="C10" s="277">
        <v>0</v>
      </c>
    </row>
    <row r="11" spans="1:3" ht="24.75" customHeight="1">
      <c r="A11" s="275"/>
      <c r="B11" s="276" t="s">
        <v>558</v>
      </c>
      <c r="C11" s="277">
        <v>0</v>
      </c>
    </row>
    <row r="12" spans="1:3" s="150" customFormat="1" ht="24.75" customHeight="1">
      <c r="A12" s="272" t="s">
        <v>196</v>
      </c>
      <c r="B12" s="278" t="s">
        <v>559</v>
      </c>
      <c r="C12" s="274">
        <f>SUM(C13:C14)</f>
        <v>0</v>
      </c>
    </row>
    <row r="13" spans="1:3" ht="24.75" customHeight="1">
      <c r="A13" s="275"/>
      <c r="B13" s="276" t="s">
        <v>557</v>
      </c>
      <c r="C13" s="277">
        <v>0</v>
      </c>
    </row>
    <row r="14" spans="1:3" ht="24.75" customHeight="1">
      <c r="A14" s="275"/>
      <c r="B14" s="276" t="s">
        <v>560</v>
      </c>
      <c r="C14" s="277">
        <v>0</v>
      </c>
    </row>
    <row r="15" spans="1:3" s="150" customFormat="1" ht="24.75" customHeight="1">
      <c r="A15" s="272" t="s">
        <v>198</v>
      </c>
      <c r="B15" s="278" t="s">
        <v>561</v>
      </c>
      <c r="C15" s="274">
        <f>SUM(C16:C18)</f>
        <v>6146158.14</v>
      </c>
    </row>
    <row r="16" spans="1:3" ht="24.75" customHeight="1">
      <c r="A16" s="275"/>
      <c r="B16" s="276" t="s">
        <v>562</v>
      </c>
      <c r="C16" s="277">
        <v>0</v>
      </c>
    </row>
    <row r="17" spans="1:3" ht="24.75" customHeight="1">
      <c r="A17" s="275"/>
      <c r="B17" s="276" t="s">
        <v>563</v>
      </c>
      <c r="C17" s="277">
        <v>6146158.14</v>
      </c>
    </row>
    <row r="18" spans="1:3" ht="24.75" customHeight="1">
      <c r="A18" s="275"/>
      <c r="B18" s="276" t="s">
        <v>564</v>
      </c>
      <c r="C18" s="277">
        <v>0</v>
      </c>
    </row>
    <row r="19" spans="1:3" s="150" customFormat="1" ht="24.75" customHeight="1">
      <c r="A19" s="272" t="s">
        <v>199</v>
      </c>
      <c r="B19" s="278" t="s">
        <v>565</v>
      </c>
      <c r="C19" s="274">
        <f>SUM(C20:C21)</f>
        <v>691271.4600000001</v>
      </c>
    </row>
    <row r="20" spans="1:3" ht="24.75" customHeight="1">
      <c r="A20" s="275"/>
      <c r="B20" s="276" t="s">
        <v>566</v>
      </c>
      <c r="C20" s="277">
        <v>16431.16</v>
      </c>
    </row>
    <row r="21" spans="1:3" ht="24.75" customHeight="1">
      <c r="A21" s="275"/>
      <c r="B21" s="276" t="s">
        <v>567</v>
      </c>
      <c r="C21" s="277">
        <v>674840.3</v>
      </c>
    </row>
    <row r="22" spans="1:3" s="150" customFormat="1" ht="24.75" customHeight="1">
      <c r="A22" s="272" t="s">
        <v>201</v>
      </c>
      <c r="B22" s="278" t="s">
        <v>568</v>
      </c>
      <c r="C22" s="274">
        <f>SUM(C23:C25)</f>
        <v>68350.13</v>
      </c>
    </row>
    <row r="23" spans="1:3" ht="24.75" customHeight="1">
      <c r="A23" s="275"/>
      <c r="B23" s="276" t="s">
        <v>566</v>
      </c>
      <c r="C23" s="277">
        <v>6400.85</v>
      </c>
    </row>
    <row r="24" spans="1:3" ht="35.25" customHeight="1">
      <c r="A24" s="275"/>
      <c r="B24" s="276" t="s">
        <v>569</v>
      </c>
      <c r="C24" s="277">
        <v>0</v>
      </c>
    </row>
    <row r="25" spans="1:3" ht="33" customHeight="1" thickBot="1">
      <c r="A25" s="279"/>
      <c r="B25" s="280" t="s">
        <v>570</v>
      </c>
      <c r="C25" s="281">
        <v>61949.28</v>
      </c>
    </row>
    <row r="26" spans="1:3" ht="54" customHeight="1" thickBot="1">
      <c r="A26" s="871" t="s">
        <v>11</v>
      </c>
      <c r="B26" s="872"/>
      <c r="C26" s="282">
        <f>C9+C12+C15+C19+C22</f>
        <v>6905779.7299999995</v>
      </c>
    </row>
  </sheetData>
  <sheetProtection/>
  <mergeCells count="6">
    <mergeCell ref="A4:C4"/>
    <mergeCell ref="A5:C5"/>
    <mergeCell ref="A7:A8"/>
    <mergeCell ref="B7:B8"/>
    <mergeCell ref="C7:C8"/>
    <mergeCell ref="A26:B26"/>
  </mergeCells>
  <printOptions horizontalCentered="1"/>
  <pageMargins left="0.3937007874015748" right="0.3937007874015748" top="0.5905511811023623" bottom="0.5905511811023623" header="0.5118110236220472" footer="0.5118110236220472"/>
  <pageSetup firstPageNumber="103" useFirstPageNumber="1" horizontalDpi="600" verticalDpi="600" orientation="portrait" paperSize="9" scale="90" r:id="rId1"/>
  <headerFooter alignWithMargins="0"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875" style="149" customWidth="1"/>
    <col min="2" max="2" width="34.375" style="149" customWidth="1"/>
    <col min="3" max="3" width="25.00390625" style="149" customWidth="1"/>
    <col min="4" max="16384" width="9.125" style="149" customWidth="1"/>
  </cols>
  <sheetData>
    <row r="1" ht="12.75">
      <c r="C1" s="270" t="s">
        <v>368</v>
      </c>
    </row>
    <row r="2" ht="12.75">
      <c r="C2" s="283"/>
    </row>
    <row r="3" ht="12.75">
      <c r="C3" s="283"/>
    </row>
    <row r="4" spans="1:3" ht="27.75" customHeight="1">
      <c r="A4" s="864" t="s">
        <v>571</v>
      </c>
      <c r="B4" s="864"/>
      <c r="C4" s="864"/>
    </row>
    <row r="5" spans="1:3" ht="27.75" customHeight="1">
      <c r="A5" s="864" t="s">
        <v>638</v>
      </c>
      <c r="B5" s="864"/>
      <c r="C5" s="864"/>
    </row>
    <row r="6" spans="1:3" ht="21.75" customHeight="1" thickBot="1">
      <c r="A6" s="271"/>
      <c r="B6" s="271"/>
      <c r="C6" s="271"/>
    </row>
    <row r="7" spans="1:3" ht="30.75" customHeight="1">
      <c r="A7" s="865" t="s">
        <v>553</v>
      </c>
      <c r="B7" s="867" t="s">
        <v>554</v>
      </c>
      <c r="C7" s="869" t="s">
        <v>572</v>
      </c>
    </row>
    <row r="8" spans="1:3" ht="33.75" customHeight="1" thickBot="1">
      <c r="A8" s="866"/>
      <c r="B8" s="868"/>
      <c r="C8" s="870"/>
    </row>
    <row r="9" spans="1:3" ht="24.75" customHeight="1">
      <c r="A9" s="284" t="s">
        <v>194</v>
      </c>
      <c r="B9" s="285" t="s">
        <v>556</v>
      </c>
      <c r="C9" s="286">
        <f>SUM(C10:C11)</f>
        <v>0</v>
      </c>
    </row>
    <row r="10" spans="1:3" ht="24.75" customHeight="1">
      <c r="A10" s="275"/>
      <c r="B10" s="276" t="s">
        <v>557</v>
      </c>
      <c r="C10" s="277">
        <v>0</v>
      </c>
    </row>
    <row r="11" spans="1:3" ht="24.75" customHeight="1">
      <c r="A11" s="275"/>
      <c r="B11" s="276" t="s">
        <v>558</v>
      </c>
      <c r="C11" s="277">
        <v>0</v>
      </c>
    </row>
    <row r="12" spans="1:3" ht="24.75" customHeight="1">
      <c r="A12" s="272" t="s">
        <v>196</v>
      </c>
      <c r="B12" s="278" t="s">
        <v>573</v>
      </c>
      <c r="C12" s="274">
        <f>SUM(C13:C14)</f>
        <v>21550000</v>
      </c>
    </row>
    <row r="13" spans="1:3" ht="24.75" customHeight="1">
      <c r="A13" s="275"/>
      <c r="B13" s="276" t="s">
        <v>557</v>
      </c>
      <c r="C13" s="277">
        <v>0</v>
      </c>
    </row>
    <row r="14" spans="1:3" ht="24.75" customHeight="1">
      <c r="A14" s="275"/>
      <c r="B14" s="276" t="s">
        <v>560</v>
      </c>
      <c r="C14" s="277">
        <v>21550000</v>
      </c>
    </row>
    <row r="15" spans="1:3" ht="24.75" customHeight="1">
      <c r="A15" s="272" t="s">
        <v>198</v>
      </c>
      <c r="B15" s="278" t="s">
        <v>574</v>
      </c>
      <c r="C15" s="274">
        <v>0</v>
      </c>
    </row>
    <row r="16" spans="1:3" ht="36.75" customHeight="1">
      <c r="A16" s="272" t="s">
        <v>199</v>
      </c>
      <c r="B16" s="278" t="s">
        <v>575</v>
      </c>
      <c r="C16" s="274">
        <f>C17+C19</f>
        <v>0</v>
      </c>
    </row>
    <row r="17" spans="1:3" ht="24.75" customHeight="1">
      <c r="A17" s="275" t="s">
        <v>576</v>
      </c>
      <c r="B17" s="276" t="s">
        <v>566</v>
      </c>
      <c r="C17" s="277">
        <v>0</v>
      </c>
    </row>
    <row r="18" spans="1:3" s="288" customFormat="1" ht="24.75" customHeight="1">
      <c r="A18" s="275"/>
      <c r="B18" s="287" t="s">
        <v>577</v>
      </c>
      <c r="C18" s="277">
        <v>0</v>
      </c>
    </row>
    <row r="19" spans="1:3" ht="24.75" customHeight="1">
      <c r="A19" s="275" t="s">
        <v>578</v>
      </c>
      <c r="B19" s="276" t="s">
        <v>579</v>
      </c>
      <c r="C19" s="277">
        <v>0</v>
      </c>
    </row>
    <row r="20" spans="1:3" ht="24.75" customHeight="1" thickBot="1">
      <c r="A20" s="275"/>
      <c r="B20" s="287" t="s">
        <v>580</v>
      </c>
      <c r="C20" s="277">
        <v>0</v>
      </c>
    </row>
    <row r="21" spans="1:3" ht="54" customHeight="1" thickBot="1">
      <c r="A21" s="871" t="s">
        <v>11</v>
      </c>
      <c r="B21" s="872"/>
      <c r="C21" s="282">
        <f>C9+C12+C15+C16</f>
        <v>21550000</v>
      </c>
    </row>
  </sheetData>
  <sheetProtection/>
  <mergeCells count="6">
    <mergeCell ref="A4:C4"/>
    <mergeCell ref="A5:C5"/>
    <mergeCell ref="A7:A8"/>
    <mergeCell ref="B7:B8"/>
    <mergeCell ref="C7:C8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firstPageNumber="104" useFirstPageNumber="1" horizontalDpi="600" verticalDpi="600" orientation="portrait" paperSize="9" scale="85" r:id="rId1"/>
  <headerFooter alignWithMargins="0"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0">
      <selection activeCell="E50" sqref="E50"/>
    </sheetView>
  </sheetViews>
  <sheetFormatPr defaultColWidth="9.00390625" defaultRowHeight="12.75"/>
  <cols>
    <col min="1" max="1" width="4.875" style="153" customWidth="1"/>
    <col min="2" max="2" width="6.875" style="153" customWidth="1"/>
    <col min="3" max="3" width="5.625" style="153" customWidth="1"/>
    <col min="4" max="4" width="24.875" style="153" customWidth="1"/>
    <col min="5" max="5" width="11.125" style="153" customWidth="1"/>
    <col min="6" max="6" width="12.25390625" style="153" customWidth="1"/>
    <col min="7" max="7" width="5.125" style="153" customWidth="1"/>
    <col min="8" max="8" width="7.25390625" style="153" customWidth="1"/>
    <col min="9" max="9" width="5.25390625" style="153" customWidth="1"/>
    <col min="10" max="10" width="32.125" style="153" customWidth="1"/>
    <col min="11" max="11" width="16.375" style="153" hidden="1" customWidth="1"/>
    <col min="12" max="12" width="14.625" style="153" hidden="1" customWidth="1"/>
    <col min="13" max="14" width="15.25390625" style="153" hidden="1" customWidth="1"/>
    <col min="15" max="15" width="13.625" style="153" customWidth="1"/>
    <col min="16" max="16" width="13.75390625" style="153" customWidth="1"/>
    <col min="17" max="17" width="26.375" style="153" customWidth="1"/>
    <col min="18" max="16384" width="9.125" style="153" customWidth="1"/>
  </cols>
  <sheetData>
    <row r="1" ht="12.75">
      <c r="Q1" s="66" t="s">
        <v>401</v>
      </c>
    </row>
    <row r="2" spans="1:17" ht="28.5" customHeight="1">
      <c r="A2" s="875" t="s">
        <v>640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</row>
    <row r="3" spans="2:17" ht="12.75" customHeight="1" thickBot="1">
      <c r="B3" s="291"/>
      <c r="C3" s="291"/>
      <c r="D3" s="291"/>
      <c r="E3" s="154"/>
      <c r="F3" s="154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s="157" customFormat="1" ht="16.5" thickBot="1" thickTop="1">
      <c r="A4" s="876" t="s">
        <v>387</v>
      </c>
      <c r="B4" s="877"/>
      <c r="C4" s="877"/>
      <c r="D4" s="877"/>
      <c r="E4" s="877"/>
      <c r="F4" s="156"/>
      <c r="G4" s="878" t="s">
        <v>388</v>
      </c>
      <c r="H4" s="879"/>
      <c r="I4" s="879"/>
      <c r="J4" s="879"/>
      <c r="K4" s="880"/>
      <c r="L4" s="880"/>
      <c r="M4" s="880"/>
      <c r="N4" s="880"/>
      <c r="O4" s="880"/>
      <c r="P4" s="880"/>
      <c r="Q4" s="881"/>
    </row>
    <row r="5" spans="1:17" s="157" customFormat="1" ht="26.25" customHeight="1" thickTop="1">
      <c r="A5" s="882" t="s">
        <v>405</v>
      </c>
      <c r="B5" s="883"/>
      <c r="C5" s="883"/>
      <c r="D5" s="884" t="s">
        <v>404</v>
      </c>
      <c r="E5" s="890" t="s">
        <v>403</v>
      </c>
      <c r="F5" s="890" t="s">
        <v>389</v>
      </c>
      <c r="G5" s="886" t="s">
        <v>405</v>
      </c>
      <c r="H5" s="887"/>
      <c r="I5" s="887"/>
      <c r="J5" s="897" t="s">
        <v>404</v>
      </c>
      <c r="K5" s="873" t="s">
        <v>390</v>
      </c>
      <c r="L5" s="888" t="s">
        <v>391</v>
      </c>
      <c r="M5" s="888" t="s">
        <v>392</v>
      </c>
      <c r="N5" s="899" t="s">
        <v>393</v>
      </c>
      <c r="O5" s="895" t="s">
        <v>402</v>
      </c>
      <c r="P5" s="888" t="s">
        <v>389</v>
      </c>
      <c r="Q5" s="873" t="s">
        <v>231</v>
      </c>
    </row>
    <row r="6" spans="1:17" s="157" customFormat="1" ht="17.25" customHeight="1" thickBot="1">
      <c r="A6" s="774" t="s">
        <v>131</v>
      </c>
      <c r="B6" s="775" t="s">
        <v>132</v>
      </c>
      <c r="C6" s="775" t="s">
        <v>230</v>
      </c>
      <c r="D6" s="885"/>
      <c r="E6" s="891"/>
      <c r="F6" s="891"/>
      <c r="G6" s="774" t="s">
        <v>131</v>
      </c>
      <c r="H6" s="775" t="s">
        <v>132</v>
      </c>
      <c r="I6" s="775" t="s">
        <v>230</v>
      </c>
      <c r="J6" s="898"/>
      <c r="K6" s="874"/>
      <c r="L6" s="889"/>
      <c r="M6" s="889"/>
      <c r="N6" s="900"/>
      <c r="O6" s="896"/>
      <c r="P6" s="889"/>
      <c r="Q6" s="874"/>
    </row>
    <row r="7" spans="1:17" ht="27" thickBot="1" thickTop="1">
      <c r="A7" s="158">
        <v>900</v>
      </c>
      <c r="B7" s="159"/>
      <c r="C7" s="159"/>
      <c r="D7" s="160" t="s">
        <v>394</v>
      </c>
      <c r="E7" s="776">
        <f>E8</f>
        <v>250000</v>
      </c>
      <c r="F7" s="194">
        <f>SUM(F9:F13)</f>
        <v>236074.03999999998</v>
      </c>
      <c r="G7" s="161">
        <v>900</v>
      </c>
      <c r="H7" s="162"/>
      <c r="I7" s="162"/>
      <c r="J7" s="163" t="s">
        <v>394</v>
      </c>
      <c r="K7" s="164">
        <f>K8</f>
        <v>29000</v>
      </c>
      <c r="L7" s="165"/>
      <c r="M7" s="164">
        <f>M8</f>
        <v>29000</v>
      </c>
      <c r="N7" s="165"/>
      <c r="O7" s="751">
        <f>O8</f>
        <v>30753</v>
      </c>
      <c r="P7" s="194">
        <f>P8</f>
        <v>20525.82</v>
      </c>
      <c r="Q7" s="726"/>
    </row>
    <row r="8" spans="1:17" ht="51.75" thickTop="1">
      <c r="A8" s="166"/>
      <c r="B8" s="167">
        <v>90019</v>
      </c>
      <c r="C8" s="167"/>
      <c r="D8" s="168" t="s">
        <v>395</v>
      </c>
      <c r="E8" s="169">
        <f>SUM(E9:E45)</f>
        <v>250000</v>
      </c>
      <c r="F8" s="292">
        <f>SUM(F9:F45)</f>
        <v>236074.03999999998</v>
      </c>
      <c r="G8" s="170"/>
      <c r="H8" s="171">
        <v>90019</v>
      </c>
      <c r="I8" s="171"/>
      <c r="J8" s="172" t="s">
        <v>395</v>
      </c>
      <c r="K8" s="173">
        <f>SUM(K9:K11)</f>
        <v>29000</v>
      </c>
      <c r="L8" s="174"/>
      <c r="M8" s="173">
        <f>SUM(M9:M11)</f>
        <v>29000</v>
      </c>
      <c r="N8" s="174"/>
      <c r="O8" s="747">
        <f>SUM(O9:O12)</f>
        <v>30753</v>
      </c>
      <c r="P8" s="736">
        <f>SUM(P9:P12)</f>
        <v>20525.82</v>
      </c>
      <c r="Q8" s="727"/>
    </row>
    <row r="9" spans="1:17" ht="38.25">
      <c r="A9" s="175"/>
      <c r="B9" s="176"/>
      <c r="C9" s="177" t="s">
        <v>629</v>
      </c>
      <c r="D9" s="178" t="s">
        <v>630</v>
      </c>
      <c r="E9" s="179">
        <v>0</v>
      </c>
      <c r="F9" s="293">
        <v>11215.14</v>
      </c>
      <c r="G9" s="180"/>
      <c r="H9" s="768"/>
      <c r="I9" s="183" t="s">
        <v>331</v>
      </c>
      <c r="J9" s="152" t="s">
        <v>53</v>
      </c>
      <c r="K9" s="185"/>
      <c r="L9" s="181"/>
      <c r="M9" s="185">
        <v>0</v>
      </c>
      <c r="N9" s="181">
        <v>500</v>
      </c>
      <c r="O9" s="748">
        <v>111</v>
      </c>
      <c r="P9" s="737">
        <v>111.2</v>
      </c>
      <c r="Q9" s="728"/>
    </row>
    <row r="10" spans="1:17" ht="20.25" customHeight="1">
      <c r="A10" s="228"/>
      <c r="B10" s="189"/>
      <c r="C10" s="177" t="s">
        <v>99</v>
      </c>
      <c r="D10" s="178" t="s">
        <v>396</v>
      </c>
      <c r="E10" s="179">
        <v>250000</v>
      </c>
      <c r="F10" s="293">
        <v>224858.9</v>
      </c>
      <c r="G10" s="180"/>
      <c r="H10" s="769"/>
      <c r="I10" s="183" t="s">
        <v>125</v>
      </c>
      <c r="J10" s="184" t="s">
        <v>43</v>
      </c>
      <c r="K10" s="185">
        <v>14000</v>
      </c>
      <c r="L10" s="181"/>
      <c r="M10" s="185">
        <v>14000</v>
      </c>
      <c r="N10" s="181"/>
      <c r="O10" s="748">
        <f>19112+1527</f>
        <v>20639</v>
      </c>
      <c r="P10" s="737">
        <v>10411.52</v>
      </c>
      <c r="Q10" s="728"/>
    </row>
    <row r="11" spans="1:17" ht="30" customHeight="1">
      <c r="A11" s="228"/>
      <c r="B11" s="189"/>
      <c r="C11" s="177"/>
      <c r="D11" s="178"/>
      <c r="E11" s="179"/>
      <c r="F11" s="293"/>
      <c r="G11" s="180"/>
      <c r="H11" s="769"/>
      <c r="I11" s="294" t="s">
        <v>145</v>
      </c>
      <c r="J11" s="295" t="s">
        <v>406</v>
      </c>
      <c r="K11" s="296">
        <v>15000</v>
      </c>
      <c r="L11" s="181"/>
      <c r="M11" s="296">
        <v>15000</v>
      </c>
      <c r="N11" s="181"/>
      <c r="O11" s="749">
        <v>3003</v>
      </c>
      <c r="P11" s="738">
        <v>3003.1</v>
      </c>
      <c r="Q11" s="729"/>
    </row>
    <row r="12" spans="1:17" ht="27" customHeight="1" thickBot="1">
      <c r="A12" s="186"/>
      <c r="B12" s="167"/>
      <c r="C12" s="177"/>
      <c r="D12" s="187"/>
      <c r="E12" s="179"/>
      <c r="F12" s="293"/>
      <c r="G12" s="180"/>
      <c r="H12" s="769"/>
      <c r="I12" s="297" t="s">
        <v>326</v>
      </c>
      <c r="J12" s="298" t="s">
        <v>48</v>
      </c>
      <c r="K12" s="299"/>
      <c r="L12" s="299"/>
      <c r="M12" s="299"/>
      <c r="N12" s="724"/>
      <c r="O12" s="750">
        <v>7000</v>
      </c>
      <c r="P12" s="739">
        <v>7000</v>
      </c>
      <c r="Q12" s="730" t="s">
        <v>631</v>
      </c>
    </row>
    <row r="13" spans="1:17" ht="24" customHeight="1" thickBot="1" thickTop="1">
      <c r="A13" s="188"/>
      <c r="B13" s="189"/>
      <c r="C13" s="177"/>
      <c r="D13" s="190"/>
      <c r="E13" s="179"/>
      <c r="F13" s="179"/>
      <c r="G13" s="161">
        <v>600</v>
      </c>
      <c r="H13" s="162"/>
      <c r="I13" s="162"/>
      <c r="J13" s="163" t="s">
        <v>658</v>
      </c>
      <c r="K13" s="164">
        <f>K14</f>
        <v>29000</v>
      </c>
      <c r="L13" s="165"/>
      <c r="M13" s="164">
        <f>M14</f>
        <v>29000</v>
      </c>
      <c r="N13" s="165"/>
      <c r="O13" s="751">
        <f>O14</f>
        <v>197766</v>
      </c>
      <c r="P13" s="194">
        <f>P14</f>
        <v>197766</v>
      </c>
      <c r="Q13" s="726"/>
    </row>
    <row r="14" spans="1:17" ht="20.25" customHeight="1" thickTop="1">
      <c r="A14" s="188"/>
      <c r="B14" s="189"/>
      <c r="C14" s="177"/>
      <c r="D14" s="190"/>
      <c r="E14" s="179"/>
      <c r="F14" s="179"/>
      <c r="G14" s="170"/>
      <c r="H14" s="171">
        <v>60014</v>
      </c>
      <c r="I14" s="171"/>
      <c r="J14" s="172" t="s">
        <v>659</v>
      </c>
      <c r="K14" s="173">
        <f>SUM(K15:K17)</f>
        <v>29000</v>
      </c>
      <c r="L14" s="174"/>
      <c r="M14" s="173">
        <f>SUM(M15:M17)</f>
        <v>29000</v>
      </c>
      <c r="N14" s="174"/>
      <c r="O14" s="747">
        <f>SUM(O15:O17)</f>
        <v>197766</v>
      </c>
      <c r="P14" s="736">
        <f>SUM(P15:P17)</f>
        <v>197766</v>
      </c>
      <c r="Q14" s="727"/>
    </row>
    <row r="15" spans="1:17" ht="20.25" customHeight="1">
      <c r="A15" s="188"/>
      <c r="B15" s="189"/>
      <c r="C15" s="177"/>
      <c r="D15" s="190"/>
      <c r="E15" s="179"/>
      <c r="F15" s="179"/>
      <c r="G15" s="180"/>
      <c r="H15" s="768"/>
      <c r="I15" s="183" t="s">
        <v>305</v>
      </c>
      <c r="J15" s="152" t="s">
        <v>102</v>
      </c>
      <c r="K15" s="185"/>
      <c r="L15" s="181"/>
      <c r="M15" s="185">
        <v>0</v>
      </c>
      <c r="N15" s="181">
        <v>500</v>
      </c>
      <c r="O15" s="748">
        <v>3650</v>
      </c>
      <c r="P15" s="737">
        <v>3650</v>
      </c>
      <c r="Q15" s="728" t="s">
        <v>660</v>
      </c>
    </row>
    <row r="16" spans="1:17" ht="24" customHeight="1">
      <c r="A16" s="188"/>
      <c r="B16" s="189"/>
      <c r="C16" s="177"/>
      <c r="D16" s="190"/>
      <c r="E16" s="179"/>
      <c r="F16" s="179"/>
      <c r="G16" s="180"/>
      <c r="H16" s="769"/>
      <c r="I16" s="183" t="s">
        <v>124</v>
      </c>
      <c r="J16" s="184" t="s">
        <v>46</v>
      </c>
      <c r="K16" s="185">
        <v>14000</v>
      </c>
      <c r="L16" s="181"/>
      <c r="M16" s="185">
        <v>14000</v>
      </c>
      <c r="N16" s="181"/>
      <c r="O16" s="748">
        <v>85816</v>
      </c>
      <c r="P16" s="737">
        <v>85816</v>
      </c>
      <c r="Q16" s="728" t="s">
        <v>661</v>
      </c>
    </row>
    <row r="17" spans="1:17" ht="30.75" customHeight="1" thickBot="1">
      <c r="A17" s="188"/>
      <c r="B17" s="189"/>
      <c r="C17" s="177"/>
      <c r="D17" s="190"/>
      <c r="E17" s="179"/>
      <c r="F17" s="179"/>
      <c r="G17" s="180"/>
      <c r="H17" s="769"/>
      <c r="I17" s="183" t="s">
        <v>125</v>
      </c>
      <c r="J17" s="184" t="s">
        <v>43</v>
      </c>
      <c r="K17" s="296">
        <v>15000</v>
      </c>
      <c r="L17" s="181"/>
      <c r="M17" s="296">
        <v>15000</v>
      </c>
      <c r="N17" s="181"/>
      <c r="O17" s="749">
        <v>108300</v>
      </c>
      <c r="P17" s="738">
        <v>108300</v>
      </c>
      <c r="Q17" s="729" t="s">
        <v>662</v>
      </c>
    </row>
    <row r="18" spans="1:17" ht="20.25" customHeight="1" thickBot="1" thickTop="1">
      <c r="A18" s="188"/>
      <c r="B18" s="189"/>
      <c r="C18" s="177"/>
      <c r="D18" s="190"/>
      <c r="E18" s="179"/>
      <c r="F18" s="179"/>
      <c r="G18" s="161">
        <v>710</v>
      </c>
      <c r="H18" s="162"/>
      <c r="I18" s="162"/>
      <c r="J18" s="163" t="s">
        <v>663</v>
      </c>
      <c r="K18" s="164">
        <f>K19</f>
        <v>15000</v>
      </c>
      <c r="L18" s="165"/>
      <c r="M18" s="164">
        <f>M19</f>
        <v>15000</v>
      </c>
      <c r="N18" s="165"/>
      <c r="O18" s="751">
        <f>O19</f>
        <v>1600</v>
      </c>
      <c r="P18" s="194">
        <f>P19</f>
        <v>1600</v>
      </c>
      <c r="Q18" s="726"/>
    </row>
    <row r="19" spans="1:17" ht="20.25" customHeight="1" thickTop="1">
      <c r="A19" s="188"/>
      <c r="B19" s="189"/>
      <c r="C19" s="177"/>
      <c r="D19" s="190"/>
      <c r="E19" s="179"/>
      <c r="F19" s="179"/>
      <c r="G19" s="170"/>
      <c r="H19" s="171">
        <v>71005</v>
      </c>
      <c r="I19" s="171"/>
      <c r="J19" s="172" t="s">
        <v>664</v>
      </c>
      <c r="K19" s="173">
        <f>SUM(K20:K20)</f>
        <v>15000</v>
      </c>
      <c r="L19" s="174"/>
      <c r="M19" s="173">
        <f>SUM(M20:M20)</f>
        <v>15000</v>
      </c>
      <c r="N19" s="174"/>
      <c r="O19" s="747">
        <f>SUM(O20:O20)</f>
        <v>1600</v>
      </c>
      <c r="P19" s="736">
        <f>SUM(P20:P20)</f>
        <v>1600</v>
      </c>
      <c r="Q19" s="727"/>
    </row>
    <row r="20" spans="1:17" ht="26.25" thickBot="1">
      <c r="A20" s="188"/>
      <c r="B20" s="189"/>
      <c r="C20" s="177"/>
      <c r="D20" s="190"/>
      <c r="E20" s="179"/>
      <c r="F20" s="179"/>
      <c r="G20" s="180"/>
      <c r="H20" s="760"/>
      <c r="I20" s="294" t="s">
        <v>301</v>
      </c>
      <c r="J20" s="301" t="s">
        <v>646</v>
      </c>
      <c r="K20" s="296">
        <v>15000</v>
      </c>
      <c r="L20" s="181"/>
      <c r="M20" s="296">
        <v>15000</v>
      </c>
      <c r="N20" s="181"/>
      <c r="O20" s="749">
        <v>1600</v>
      </c>
      <c r="P20" s="738">
        <v>1600</v>
      </c>
      <c r="Q20" s="729"/>
    </row>
    <row r="21" spans="1:17" ht="15.75" thickBot="1" thickTop="1">
      <c r="A21" s="188"/>
      <c r="B21" s="189"/>
      <c r="C21" s="177"/>
      <c r="D21" s="190"/>
      <c r="E21" s="179"/>
      <c r="F21" s="179"/>
      <c r="G21" s="161">
        <v>750</v>
      </c>
      <c r="H21" s="162"/>
      <c r="I21" s="162"/>
      <c r="J21" s="163" t="s">
        <v>634</v>
      </c>
      <c r="K21" s="164">
        <f>K22</f>
        <v>15000</v>
      </c>
      <c r="L21" s="165"/>
      <c r="M21" s="164">
        <f>M22</f>
        <v>15000</v>
      </c>
      <c r="N21" s="165"/>
      <c r="O21" s="751">
        <f>O22</f>
        <v>18696</v>
      </c>
      <c r="P21" s="194">
        <f>P22</f>
        <v>18473</v>
      </c>
      <c r="Q21" s="726"/>
    </row>
    <row r="22" spans="1:17" ht="13.5" thickTop="1">
      <c r="A22" s="188"/>
      <c r="B22" s="189"/>
      <c r="C22" s="177"/>
      <c r="D22" s="190"/>
      <c r="E22" s="179"/>
      <c r="F22" s="179"/>
      <c r="G22" s="170"/>
      <c r="H22" s="171">
        <v>75020</v>
      </c>
      <c r="I22" s="171"/>
      <c r="J22" s="172" t="s">
        <v>635</v>
      </c>
      <c r="K22" s="173">
        <f>SUM(K23:K23)</f>
        <v>15000</v>
      </c>
      <c r="L22" s="174"/>
      <c r="M22" s="173">
        <f>SUM(M23:M23)</f>
        <v>15000</v>
      </c>
      <c r="N22" s="174"/>
      <c r="O22" s="747">
        <f>SUM(O23:O23)</f>
        <v>18696</v>
      </c>
      <c r="P22" s="736">
        <f>SUM(P23:P23)</f>
        <v>18473</v>
      </c>
      <c r="Q22" s="727"/>
    </row>
    <row r="23" spans="1:17" ht="39.75" customHeight="1" thickBot="1">
      <c r="A23" s="188"/>
      <c r="B23" s="189"/>
      <c r="C23" s="177"/>
      <c r="D23" s="190"/>
      <c r="E23" s="179"/>
      <c r="F23" s="179"/>
      <c r="G23" s="180"/>
      <c r="H23" s="760"/>
      <c r="I23" s="294" t="s">
        <v>320</v>
      </c>
      <c r="J23" s="301" t="s">
        <v>47</v>
      </c>
      <c r="K23" s="296">
        <v>15000</v>
      </c>
      <c r="L23" s="181"/>
      <c r="M23" s="296">
        <v>15000</v>
      </c>
      <c r="N23" s="181"/>
      <c r="O23" s="749">
        <v>18696</v>
      </c>
      <c r="P23" s="738">
        <v>18473</v>
      </c>
      <c r="Q23" s="729" t="s">
        <v>636</v>
      </c>
    </row>
    <row r="24" spans="1:17" ht="27" hidden="1" thickBot="1" thickTop="1">
      <c r="A24" s="188"/>
      <c r="B24" s="189"/>
      <c r="C24" s="177"/>
      <c r="D24" s="190"/>
      <c r="E24" s="179"/>
      <c r="F24" s="179"/>
      <c r="G24" s="161">
        <v>754</v>
      </c>
      <c r="H24" s="162"/>
      <c r="I24" s="162"/>
      <c r="J24" s="163" t="s">
        <v>397</v>
      </c>
      <c r="K24" s="164">
        <f>K25</f>
        <v>29000</v>
      </c>
      <c r="L24" s="165"/>
      <c r="M24" s="164">
        <f>M25</f>
        <v>29000</v>
      </c>
      <c r="N24" s="165"/>
      <c r="O24" s="751">
        <f>O25</f>
        <v>0</v>
      </c>
      <c r="P24" s="194">
        <f>P25</f>
        <v>0</v>
      </c>
      <c r="Q24" s="726"/>
    </row>
    <row r="25" spans="1:17" ht="26.25" hidden="1" thickTop="1">
      <c r="A25" s="188"/>
      <c r="B25" s="189"/>
      <c r="C25" s="177"/>
      <c r="D25" s="190"/>
      <c r="E25" s="179"/>
      <c r="F25" s="179"/>
      <c r="G25" s="170"/>
      <c r="H25" s="171">
        <v>75411</v>
      </c>
      <c r="I25" s="171"/>
      <c r="J25" s="172" t="s">
        <v>398</v>
      </c>
      <c r="K25" s="173">
        <f>SUM(K26:K28)</f>
        <v>29000</v>
      </c>
      <c r="L25" s="174"/>
      <c r="M25" s="173">
        <f>SUM(M26:M28)</f>
        <v>29000</v>
      </c>
      <c r="N25" s="174"/>
      <c r="O25" s="747">
        <f>SUM(O26:O28)</f>
        <v>0</v>
      </c>
      <c r="P25" s="736">
        <f>SUM(P26:P28)</f>
        <v>0</v>
      </c>
      <c r="Q25" s="727"/>
    </row>
    <row r="26" spans="1:17" ht="12.75" hidden="1">
      <c r="A26" s="188"/>
      <c r="B26" s="189"/>
      <c r="C26" s="177"/>
      <c r="D26" s="190"/>
      <c r="E26" s="179"/>
      <c r="F26" s="179"/>
      <c r="G26" s="180"/>
      <c r="H26" s="768"/>
      <c r="I26" s="183" t="s">
        <v>123</v>
      </c>
      <c r="J26" s="152" t="s">
        <v>44</v>
      </c>
      <c r="K26" s="185"/>
      <c r="L26" s="181"/>
      <c r="M26" s="185">
        <v>0</v>
      </c>
      <c r="N26" s="181">
        <v>500</v>
      </c>
      <c r="O26" s="748">
        <v>0</v>
      </c>
      <c r="P26" s="737">
        <v>0</v>
      </c>
      <c r="Q26" s="728" t="s">
        <v>665</v>
      </c>
    </row>
    <row r="27" spans="1:17" ht="12.75" hidden="1">
      <c r="A27" s="188"/>
      <c r="B27" s="189"/>
      <c r="C27" s="177"/>
      <c r="D27" s="190"/>
      <c r="E27" s="179"/>
      <c r="F27" s="179"/>
      <c r="G27" s="180"/>
      <c r="H27" s="769"/>
      <c r="I27" s="183" t="s">
        <v>125</v>
      </c>
      <c r="J27" s="184" t="s">
        <v>43</v>
      </c>
      <c r="K27" s="185">
        <v>14000</v>
      </c>
      <c r="L27" s="181"/>
      <c r="M27" s="185">
        <v>14000</v>
      </c>
      <c r="N27" s="181"/>
      <c r="O27" s="748">
        <v>0</v>
      </c>
      <c r="P27" s="737">
        <v>0</v>
      </c>
      <c r="Q27" s="728" t="s">
        <v>666</v>
      </c>
    </row>
    <row r="28" spans="1:17" ht="26.25" hidden="1" thickBot="1">
      <c r="A28" s="188"/>
      <c r="B28" s="189"/>
      <c r="C28" s="177"/>
      <c r="D28" s="190"/>
      <c r="E28" s="179"/>
      <c r="F28" s="179"/>
      <c r="G28" s="180"/>
      <c r="H28" s="769"/>
      <c r="I28" s="183" t="s">
        <v>319</v>
      </c>
      <c r="J28" s="184" t="s">
        <v>625</v>
      </c>
      <c r="K28" s="296">
        <v>15000</v>
      </c>
      <c r="L28" s="181"/>
      <c r="M28" s="296">
        <v>15000</v>
      </c>
      <c r="N28" s="181"/>
      <c r="O28" s="749">
        <v>0</v>
      </c>
      <c r="P28" s="738">
        <v>0</v>
      </c>
      <c r="Q28" s="729" t="s">
        <v>667</v>
      </c>
    </row>
    <row r="29" spans="1:17" ht="14.25" hidden="1" thickBot="1" thickTop="1">
      <c r="A29" s="188"/>
      <c r="B29" s="189"/>
      <c r="C29" s="177"/>
      <c r="D29" s="190"/>
      <c r="E29" s="179"/>
      <c r="F29" s="179"/>
      <c r="G29" s="161">
        <v>801</v>
      </c>
      <c r="H29" s="162"/>
      <c r="I29" s="192"/>
      <c r="J29" s="193" t="s">
        <v>461</v>
      </c>
      <c r="K29" s="194">
        <f>K30</f>
        <v>0</v>
      </c>
      <c r="L29" s="195">
        <f>L30</f>
        <v>83455</v>
      </c>
      <c r="M29" s="194">
        <f>M30</f>
        <v>83455</v>
      </c>
      <c r="N29" s="745">
        <f>N30</f>
        <v>-2184</v>
      </c>
      <c r="O29" s="751">
        <f>O30+O32</f>
        <v>0</v>
      </c>
      <c r="P29" s="194">
        <f>P30+P32</f>
        <v>0</v>
      </c>
      <c r="Q29" s="731"/>
    </row>
    <row r="30" spans="1:17" ht="14.25" hidden="1" thickBot="1" thickTop="1">
      <c r="A30" s="188"/>
      <c r="B30" s="189"/>
      <c r="C30" s="177"/>
      <c r="D30" s="190"/>
      <c r="E30" s="179"/>
      <c r="F30" s="179"/>
      <c r="G30" s="166"/>
      <c r="H30" s="167">
        <v>80120</v>
      </c>
      <c r="I30" s="182"/>
      <c r="J30" s="196" t="s">
        <v>56</v>
      </c>
      <c r="K30" s="197">
        <f>SUM(K31:K31)</f>
        <v>0</v>
      </c>
      <c r="L30" s="197">
        <f>SUM(L31:L31)</f>
        <v>83455</v>
      </c>
      <c r="M30" s="197">
        <f>SUM(M31:M31)</f>
        <v>83455</v>
      </c>
      <c r="N30" s="208">
        <f>SUM(N31:N31)</f>
        <v>-2184</v>
      </c>
      <c r="O30" s="752">
        <f>SUM(O31)</f>
        <v>0</v>
      </c>
      <c r="P30" s="740">
        <f>SUM(P31)</f>
        <v>0</v>
      </c>
      <c r="Q30" s="732"/>
    </row>
    <row r="31" spans="1:17" ht="13.5" hidden="1" thickTop="1">
      <c r="A31" s="188"/>
      <c r="B31" s="189"/>
      <c r="C31" s="177"/>
      <c r="D31" s="190"/>
      <c r="E31" s="179"/>
      <c r="F31" s="179"/>
      <c r="G31" s="201"/>
      <c r="H31" s="202"/>
      <c r="I31" s="300">
        <v>4210</v>
      </c>
      <c r="J31" s="301" t="s">
        <v>44</v>
      </c>
      <c r="K31" s="302"/>
      <c r="L31" s="302">
        <v>83455</v>
      </c>
      <c r="M31" s="200">
        <f>K31+L31</f>
        <v>83455</v>
      </c>
      <c r="N31" s="303">
        <v>-2184</v>
      </c>
      <c r="O31" s="200">
        <v>0</v>
      </c>
      <c r="P31" s="741">
        <v>0</v>
      </c>
      <c r="Q31" s="723" t="s">
        <v>668</v>
      </c>
    </row>
    <row r="32" spans="1:17" ht="12.75" hidden="1">
      <c r="A32" s="191"/>
      <c r="B32" s="190"/>
      <c r="C32" s="190"/>
      <c r="D32" s="190"/>
      <c r="E32" s="179"/>
      <c r="F32" s="179"/>
      <c r="G32" s="188"/>
      <c r="H32" s="189">
        <v>80130</v>
      </c>
      <c r="I32" s="176"/>
      <c r="J32" s="301" t="s">
        <v>69</v>
      </c>
      <c r="K32" s="302" t="e">
        <f>SUM(#REF!)</f>
        <v>#REF!</v>
      </c>
      <c r="L32" s="302" t="e">
        <f>SUM(#REF!)</f>
        <v>#REF!</v>
      </c>
      <c r="M32" s="302" t="e">
        <f>SUM(#REF!)</f>
        <v>#REF!</v>
      </c>
      <c r="N32" s="303" t="e">
        <f>SUM(#REF!)</f>
        <v>#REF!</v>
      </c>
      <c r="O32" s="200">
        <f>SUM(O33:O34)</f>
        <v>0</v>
      </c>
      <c r="P32" s="741">
        <f>SUM(P33:P34)</f>
        <v>0</v>
      </c>
      <c r="Q32" s="770"/>
    </row>
    <row r="33" spans="1:17" ht="12.75" hidden="1">
      <c r="A33" s="198"/>
      <c r="B33" s="199"/>
      <c r="C33" s="199"/>
      <c r="D33" s="199"/>
      <c r="E33" s="200"/>
      <c r="F33" s="200"/>
      <c r="G33" s="201"/>
      <c r="H33" s="202"/>
      <c r="I33" s="300">
        <v>4210</v>
      </c>
      <c r="J33" s="301" t="s">
        <v>44</v>
      </c>
      <c r="K33" s="302"/>
      <c r="L33" s="302"/>
      <c r="M33" s="303"/>
      <c r="N33" s="303"/>
      <c r="O33" s="200">
        <v>0</v>
      </c>
      <c r="P33" s="741">
        <v>0</v>
      </c>
      <c r="Q33" s="771"/>
    </row>
    <row r="34" spans="1:17" ht="13.5" hidden="1" thickBot="1">
      <c r="A34" s="198"/>
      <c r="B34" s="199"/>
      <c r="C34" s="199"/>
      <c r="D34" s="199"/>
      <c r="E34" s="200"/>
      <c r="F34" s="200"/>
      <c r="G34" s="201"/>
      <c r="H34" s="202"/>
      <c r="I34" s="183" t="s">
        <v>125</v>
      </c>
      <c r="J34" s="184" t="s">
        <v>43</v>
      </c>
      <c r="K34" s="302"/>
      <c r="L34" s="302"/>
      <c r="M34" s="303"/>
      <c r="N34" s="303"/>
      <c r="O34" s="200">
        <v>0</v>
      </c>
      <c r="P34" s="741">
        <v>0</v>
      </c>
      <c r="Q34" s="732"/>
    </row>
    <row r="35" spans="1:17" ht="14.25" thickBot="1" thickTop="1">
      <c r="A35" s="198"/>
      <c r="B35" s="199"/>
      <c r="C35" s="199"/>
      <c r="D35" s="199"/>
      <c r="E35" s="200"/>
      <c r="F35" s="200"/>
      <c r="G35" s="161">
        <v>854</v>
      </c>
      <c r="H35" s="162"/>
      <c r="I35" s="192"/>
      <c r="J35" s="193" t="s">
        <v>632</v>
      </c>
      <c r="K35" s="194">
        <f>K36</f>
        <v>0</v>
      </c>
      <c r="L35" s="195">
        <f>L36</f>
        <v>0</v>
      </c>
      <c r="M35" s="194">
        <f>M36</f>
        <v>0</v>
      </c>
      <c r="N35" s="745">
        <f>N36</f>
        <v>0</v>
      </c>
      <c r="O35" s="751">
        <f>O36+O43</f>
        <v>1185</v>
      </c>
      <c r="P35" s="194">
        <f>P36+P43</f>
        <v>1185</v>
      </c>
      <c r="Q35" s="731"/>
    </row>
    <row r="36" spans="1:17" ht="27" thickBot="1" thickTop="1">
      <c r="A36" s="198"/>
      <c r="B36" s="199"/>
      <c r="C36" s="199"/>
      <c r="D36" s="199"/>
      <c r="E36" s="200"/>
      <c r="F36" s="200"/>
      <c r="G36" s="166"/>
      <c r="H36" s="167">
        <v>85403</v>
      </c>
      <c r="I36" s="182"/>
      <c r="J36" s="196" t="s">
        <v>633</v>
      </c>
      <c r="K36" s="197">
        <f>SUM(K39:K39)</f>
        <v>0</v>
      </c>
      <c r="L36" s="197">
        <f>SUM(L39:L39)</f>
        <v>0</v>
      </c>
      <c r="M36" s="197">
        <f>SUM(M39:M39)</f>
        <v>0</v>
      </c>
      <c r="N36" s="208">
        <f>SUM(N39:N39)</f>
        <v>0</v>
      </c>
      <c r="O36" s="752">
        <f>SUM(O37:O39)</f>
        <v>1185</v>
      </c>
      <c r="P36" s="740">
        <f>SUM(P37:P39)</f>
        <v>1185</v>
      </c>
      <c r="Q36" s="772"/>
    </row>
    <row r="37" spans="1:17" ht="12.75" hidden="1">
      <c r="A37" s="198"/>
      <c r="B37" s="199"/>
      <c r="C37" s="199"/>
      <c r="D37" s="199"/>
      <c r="E37" s="200"/>
      <c r="F37" s="200"/>
      <c r="G37" s="201"/>
      <c r="H37" s="202"/>
      <c r="I37" s="300">
        <v>4210</v>
      </c>
      <c r="J37" s="301" t="s">
        <v>44</v>
      </c>
      <c r="K37" s="302"/>
      <c r="L37" s="302"/>
      <c r="M37" s="303"/>
      <c r="N37" s="303"/>
      <c r="O37" s="200">
        <v>0</v>
      </c>
      <c r="P37" s="741">
        <v>0</v>
      </c>
      <c r="Q37" s="773" t="s">
        <v>669</v>
      </c>
    </row>
    <row r="38" spans="1:17" ht="13.5" hidden="1" thickBot="1">
      <c r="A38" s="198"/>
      <c r="B38" s="199"/>
      <c r="C38" s="199"/>
      <c r="D38" s="199"/>
      <c r="E38" s="200"/>
      <c r="F38" s="200"/>
      <c r="G38" s="201"/>
      <c r="H38" s="202"/>
      <c r="I38" s="183" t="s">
        <v>125</v>
      </c>
      <c r="J38" s="184" t="s">
        <v>43</v>
      </c>
      <c r="K38" s="302"/>
      <c r="L38" s="302"/>
      <c r="M38" s="303"/>
      <c r="N38" s="303"/>
      <c r="O38" s="200">
        <v>0</v>
      </c>
      <c r="P38" s="741">
        <v>0</v>
      </c>
      <c r="Q38" s="772" t="s">
        <v>670</v>
      </c>
    </row>
    <row r="39" spans="1:17" ht="24" customHeight="1" thickTop="1">
      <c r="A39" s="198"/>
      <c r="B39" s="199"/>
      <c r="C39" s="199"/>
      <c r="D39" s="199"/>
      <c r="E39" s="200"/>
      <c r="F39" s="200"/>
      <c r="G39" s="201"/>
      <c r="H39" s="202"/>
      <c r="I39" s="203">
        <v>6050</v>
      </c>
      <c r="J39" s="204" t="s">
        <v>47</v>
      </c>
      <c r="K39" s="205"/>
      <c r="L39" s="205"/>
      <c r="M39" s="206"/>
      <c r="N39" s="206"/>
      <c r="O39" s="179">
        <v>1185</v>
      </c>
      <c r="P39" s="293">
        <v>1185</v>
      </c>
      <c r="Q39" s="723" t="s">
        <v>671</v>
      </c>
    </row>
    <row r="40" spans="1:17" ht="13.5" hidden="1" thickBot="1">
      <c r="A40" s="198"/>
      <c r="B40" s="199"/>
      <c r="C40" s="199"/>
      <c r="D40" s="199"/>
      <c r="E40" s="200"/>
      <c r="F40" s="200"/>
      <c r="G40" s="188"/>
      <c r="H40" s="189">
        <v>80130</v>
      </c>
      <c r="I40" s="182"/>
      <c r="J40" s="196" t="s">
        <v>69</v>
      </c>
      <c r="K40" s="197">
        <f aca="true" t="shared" si="0" ref="K40:P40">SUM(K41:K41)</f>
        <v>0</v>
      </c>
      <c r="L40" s="197">
        <f t="shared" si="0"/>
        <v>83455</v>
      </c>
      <c r="M40" s="197">
        <f t="shared" si="0"/>
        <v>83455</v>
      </c>
      <c r="N40" s="208">
        <f t="shared" si="0"/>
        <v>-2184</v>
      </c>
      <c r="O40" s="752">
        <f t="shared" si="0"/>
        <v>0</v>
      </c>
      <c r="P40" s="740">
        <f t="shared" si="0"/>
        <v>0</v>
      </c>
      <c r="Q40" s="304"/>
    </row>
    <row r="41" spans="1:17" ht="65.25" hidden="1" thickBot="1" thickTop="1">
      <c r="A41" s="198"/>
      <c r="B41" s="199"/>
      <c r="C41" s="199"/>
      <c r="D41" s="199"/>
      <c r="E41" s="200"/>
      <c r="F41" s="200"/>
      <c r="G41" s="201"/>
      <c r="H41" s="202"/>
      <c r="I41" s="203">
        <v>6050</v>
      </c>
      <c r="J41" s="204" t="s">
        <v>47</v>
      </c>
      <c r="K41" s="205"/>
      <c r="L41" s="205">
        <v>83455</v>
      </c>
      <c r="M41" s="179">
        <f>K41+L41</f>
        <v>83455</v>
      </c>
      <c r="N41" s="206">
        <v>-2184</v>
      </c>
      <c r="O41" s="179"/>
      <c r="P41" s="742"/>
      <c r="Q41" s="207" t="s">
        <v>462</v>
      </c>
    </row>
    <row r="42" spans="1:17" ht="27" hidden="1" thickBot="1" thickTop="1">
      <c r="A42" s="198"/>
      <c r="B42" s="199"/>
      <c r="C42" s="199"/>
      <c r="D42" s="199"/>
      <c r="E42" s="200"/>
      <c r="F42" s="200"/>
      <c r="G42" s="161">
        <v>754</v>
      </c>
      <c r="H42" s="162"/>
      <c r="I42" s="192"/>
      <c r="J42" s="193" t="s">
        <v>397</v>
      </c>
      <c r="K42" s="194">
        <f>K43</f>
        <v>8201</v>
      </c>
      <c r="L42" s="195">
        <f>L43</f>
        <v>1031</v>
      </c>
      <c r="M42" s="194">
        <f>M43</f>
        <v>9232</v>
      </c>
      <c r="N42" s="745">
        <f>N43</f>
        <v>1575</v>
      </c>
      <c r="O42" s="751">
        <f>O43+O45</f>
        <v>0</v>
      </c>
      <c r="P42" s="194">
        <f>P43+P45</f>
        <v>0</v>
      </c>
      <c r="Q42" s="731"/>
    </row>
    <row r="43" spans="1:17" ht="26.25" hidden="1" thickTop="1">
      <c r="A43" s="198"/>
      <c r="B43" s="199"/>
      <c r="C43" s="199"/>
      <c r="D43" s="199"/>
      <c r="E43" s="200"/>
      <c r="F43" s="200"/>
      <c r="G43" s="188"/>
      <c r="H43" s="209">
        <v>75411</v>
      </c>
      <c r="I43" s="210"/>
      <c r="J43" s="211" t="s">
        <v>398</v>
      </c>
      <c r="K43" s="212">
        <f aca="true" t="shared" si="1" ref="K43:P43">SUM(K44:K44)</f>
        <v>8201</v>
      </c>
      <c r="L43" s="212">
        <f t="shared" si="1"/>
        <v>1031</v>
      </c>
      <c r="M43" s="212">
        <f t="shared" si="1"/>
        <v>9232</v>
      </c>
      <c r="N43" s="725">
        <f t="shared" si="1"/>
        <v>1575</v>
      </c>
      <c r="O43" s="753">
        <f t="shared" si="1"/>
        <v>0</v>
      </c>
      <c r="P43" s="743">
        <f t="shared" si="1"/>
        <v>0</v>
      </c>
      <c r="Q43" s="733"/>
    </row>
    <row r="44" spans="1:17" ht="74.25" customHeight="1" hidden="1">
      <c r="A44" s="198"/>
      <c r="B44" s="199"/>
      <c r="C44" s="199"/>
      <c r="D44" s="199"/>
      <c r="E44" s="200"/>
      <c r="F44" s="200"/>
      <c r="G44" s="201"/>
      <c r="H44" s="202"/>
      <c r="I44" s="213">
        <v>6069</v>
      </c>
      <c r="J44" s="168" t="s">
        <v>48</v>
      </c>
      <c r="K44" s="214">
        <v>8201</v>
      </c>
      <c r="L44" s="214">
        <v>1031</v>
      </c>
      <c r="M44" s="169">
        <f>K44+L44</f>
        <v>9232</v>
      </c>
      <c r="N44" s="215">
        <v>1575</v>
      </c>
      <c r="O44" s="169"/>
      <c r="P44" s="293">
        <v>0</v>
      </c>
      <c r="Q44" s="216" t="s">
        <v>407</v>
      </c>
    </row>
    <row r="45" spans="1:17" ht="8.25" customHeight="1" thickBot="1">
      <c r="A45" s="198"/>
      <c r="B45" s="199"/>
      <c r="C45" s="199"/>
      <c r="D45" s="199"/>
      <c r="E45" s="217"/>
      <c r="F45" s="217"/>
      <c r="G45" s="198"/>
      <c r="H45" s="199"/>
      <c r="I45" s="218"/>
      <c r="J45" s="196"/>
      <c r="K45" s="219"/>
      <c r="L45" s="220"/>
      <c r="M45" s="219"/>
      <c r="N45" s="220"/>
      <c r="O45" s="754"/>
      <c r="P45" s="744"/>
      <c r="Q45" s="734"/>
    </row>
    <row r="46" spans="1:17" ht="29.25" customHeight="1" thickBot="1" thickTop="1">
      <c r="A46" s="892" t="s">
        <v>399</v>
      </c>
      <c r="B46" s="893"/>
      <c r="C46" s="893"/>
      <c r="D46" s="894"/>
      <c r="E46" s="221">
        <f>E7</f>
        <v>250000</v>
      </c>
      <c r="F46" s="221">
        <f>F7</f>
        <v>236074.03999999998</v>
      </c>
      <c r="G46" s="892" t="s">
        <v>400</v>
      </c>
      <c r="H46" s="893"/>
      <c r="I46" s="893"/>
      <c r="J46" s="893"/>
      <c r="K46" s="164" t="e">
        <f>#REF!+#REF!+K7</f>
        <v>#REF!</v>
      </c>
      <c r="L46" s="165"/>
      <c r="M46" s="164" t="e">
        <f>#REF!+#REF!+M7</f>
        <v>#REF!</v>
      </c>
      <c r="N46" s="165"/>
      <c r="O46" s="746">
        <f>O7+O13+O18+O21+O29+O35+O24</f>
        <v>250000</v>
      </c>
      <c r="P46" s="746">
        <f>P7+P13+P18+P21+P29+P35+P24</f>
        <v>239549.82</v>
      </c>
      <c r="Q46" s="735"/>
    </row>
    <row r="47" ht="13.5" thickTop="1"/>
  </sheetData>
  <sheetProtection/>
  <mergeCells count="18">
    <mergeCell ref="A46:D46"/>
    <mergeCell ref="G46:J46"/>
    <mergeCell ref="O5:O6"/>
    <mergeCell ref="K5:K6"/>
    <mergeCell ref="L5:L6"/>
    <mergeCell ref="J5:J6"/>
    <mergeCell ref="N5:N6"/>
    <mergeCell ref="M5:M6"/>
    <mergeCell ref="E5:E6"/>
    <mergeCell ref="Q5:Q6"/>
    <mergeCell ref="A2:Q2"/>
    <mergeCell ref="A4:E4"/>
    <mergeCell ref="G4:Q4"/>
    <mergeCell ref="A5:C5"/>
    <mergeCell ref="D5:D6"/>
    <mergeCell ref="G5:I5"/>
    <mergeCell ref="P5:P6"/>
    <mergeCell ref="F5:F6"/>
  </mergeCells>
  <printOptions horizontalCentered="1"/>
  <pageMargins left="0.31496062992125984" right="0.31496062992125984" top="0.31496062992125984" bottom="0.31496062992125984" header="0.1968503937007874" footer="0.35433070866141736"/>
  <pageSetup firstPageNumber="105" useFirstPageNumber="1" horizontalDpi="600" verticalDpi="600" orientation="landscape" paperSize="9" scale="80" r:id="rId1"/>
  <headerFooter alignWithMargins="0"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2"/>
  <sheetViews>
    <sheetView zoomScaleSheetLayoutView="100" zoomScalePageLayoutView="0" workbookViewId="0" topLeftCell="A5">
      <pane ySplit="1935" topLeftCell="A99" activePane="bottomLeft" state="split"/>
      <selection pane="topLeft" activeCell="A4" sqref="A4"/>
      <selection pane="bottomLeft" activeCell="G109" sqref="G109"/>
    </sheetView>
  </sheetViews>
  <sheetFormatPr defaultColWidth="10.25390625" defaultRowHeight="12.75"/>
  <cols>
    <col min="1" max="1" width="3.625" style="71" bestFit="1" customWidth="1"/>
    <col min="2" max="2" width="41.625" style="71" customWidth="1"/>
    <col min="3" max="3" width="8.75390625" style="71" customWidth="1"/>
    <col min="4" max="4" width="10.00390625" style="71" customWidth="1"/>
    <col min="5" max="5" width="11.75390625" style="71" customWidth="1"/>
    <col min="6" max="6" width="10.625" style="71" bestFit="1" customWidth="1"/>
    <col min="7" max="7" width="12.00390625" style="71" customWidth="1"/>
    <col min="8" max="8" width="13.625" style="71" customWidth="1"/>
    <col min="9" max="9" width="10.875" style="71" customWidth="1"/>
    <col min="10" max="16384" width="10.25390625" style="71" customWidth="1"/>
  </cols>
  <sheetData>
    <row r="1" ht="12.75">
      <c r="K1" s="66" t="s">
        <v>581</v>
      </c>
    </row>
    <row r="2" ht="9.75" customHeight="1">
      <c r="K2" s="66"/>
    </row>
    <row r="3" spans="1:11" ht="30" customHeight="1">
      <c r="A3" s="928" t="s">
        <v>641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</row>
    <row r="4" ht="11.25" customHeight="1" thickBot="1"/>
    <row r="5" spans="1:11" ht="21" customHeight="1" thickTop="1">
      <c r="A5" s="929" t="s">
        <v>173</v>
      </c>
      <c r="B5" s="931" t="s">
        <v>408</v>
      </c>
      <c r="C5" s="933" t="s">
        <v>409</v>
      </c>
      <c r="D5" s="933" t="s">
        <v>410</v>
      </c>
      <c r="E5" s="933" t="s">
        <v>411</v>
      </c>
      <c r="F5" s="934" t="s">
        <v>412</v>
      </c>
      <c r="G5" s="934"/>
      <c r="H5" s="934"/>
      <c r="I5" s="935" t="s">
        <v>413</v>
      </c>
      <c r="J5" s="935"/>
      <c r="K5" s="936"/>
    </row>
    <row r="6" spans="1:11" ht="11.25">
      <c r="A6" s="930"/>
      <c r="B6" s="932"/>
      <c r="C6" s="927"/>
      <c r="D6" s="927"/>
      <c r="E6" s="927"/>
      <c r="F6" s="927" t="s">
        <v>414</v>
      </c>
      <c r="G6" s="927" t="s">
        <v>415</v>
      </c>
      <c r="H6" s="924" t="s">
        <v>416</v>
      </c>
      <c r="I6" s="927" t="s">
        <v>414</v>
      </c>
      <c r="J6" s="927" t="s">
        <v>471</v>
      </c>
      <c r="K6" s="921" t="s">
        <v>416</v>
      </c>
    </row>
    <row r="7" spans="1:11" ht="11.25" customHeight="1">
      <c r="A7" s="930"/>
      <c r="B7" s="932"/>
      <c r="C7" s="927"/>
      <c r="D7" s="927"/>
      <c r="E7" s="927"/>
      <c r="F7" s="927"/>
      <c r="G7" s="927"/>
      <c r="H7" s="925"/>
      <c r="I7" s="927"/>
      <c r="J7" s="927"/>
      <c r="K7" s="922"/>
    </row>
    <row r="8" spans="1:11" ht="14.25" customHeight="1">
      <c r="A8" s="930"/>
      <c r="B8" s="932"/>
      <c r="C8" s="927"/>
      <c r="D8" s="927"/>
      <c r="E8" s="927"/>
      <c r="F8" s="927"/>
      <c r="G8" s="927"/>
      <c r="H8" s="925"/>
      <c r="I8" s="927"/>
      <c r="J8" s="927"/>
      <c r="K8" s="922"/>
    </row>
    <row r="9" spans="1:11" ht="12.75" customHeight="1">
      <c r="A9" s="930"/>
      <c r="B9" s="932"/>
      <c r="C9" s="927"/>
      <c r="D9" s="927"/>
      <c r="E9" s="927"/>
      <c r="F9" s="927"/>
      <c r="G9" s="927"/>
      <c r="H9" s="925"/>
      <c r="I9" s="927"/>
      <c r="J9" s="927"/>
      <c r="K9" s="922"/>
    </row>
    <row r="10" spans="1:11" ht="2.25" customHeight="1">
      <c r="A10" s="930"/>
      <c r="B10" s="932"/>
      <c r="C10" s="927"/>
      <c r="D10" s="927"/>
      <c r="E10" s="927"/>
      <c r="F10" s="927"/>
      <c r="G10" s="927"/>
      <c r="H10" s="926"/>
      <c r="I10" s="927"/>
      <c r="J10" s="927"/>
      <c r="K10" s="923"/>
    </row>
    <row r="11" spans="1:11" ht="7.5" customHeight="1" thickBot="1">
      <c r="A11" s="98">
        <v>1</v>
      </c>
      <c r="B11" s="99">
        <v>2</v>
      </c>
      <c r="C11" s="99">
        <v>3</v>
      </c>
      <c r="D11" s="99">
        <v>4</v>
      </c>
      <c r="E11" s="99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100">
        <v>11</v>
      </c>
    </row>
    <row r="12" spans="1:11" ht="29.25" customHeight="1" thickTop="1">
      <c r="A12" s="901" t="s">
        <v>239</v>
      </c>
      <c r="B12" s="67" t="s">
        <v>422</v>
      </c>
      <c r="C12" s="68"/>
      <c r="D12" s="250"/>
      <c r="E12" s="101"/>
      <c r="F12" s="101"/>
      <c r="G12" s="101"/>
      <c r="H12" s="101"/>
      <c r="I12" s="101"/>
      <c r="J12" s="101"/>
      <c r="K12" s="102"/>
    </row>
    <row r="13" spans="1:11" ht="12.75" customHeight="1">
      <c r="A13" s="902"/>
      <c r="B13" s="72" t="s">
        <v>429</v>
      </c>
      <c r="C13" s="73"/>
      <c r="D13" s="251"/>
      <c r="E13" s="103"/>
      <c r="F13" s="103"/>
      <c r="G13" s="103"/>
      <c r="H13" s="103"/>
      <c r="I13" s="103"/>
      <c r="J13" s="103"/>
      <c r="K13" s="104"/>
    </row>
    <row r="14" spans="1:11" ht="14.25" customHeight="1">
      <c r="A14" s="902"/>
      <c r="B14" s="72" t="s">
        <v>430</v>
      </c>
      <c r="C14" s="73"/>
      <c r="D14" s="251"/>
      <c r="E14" s="103"/>
      <c r="F14" s="103"/>
      <c r="G14" s="103"/>
      <c r="H14" s="103"/>
      <c r="I14" s="103"/>
      <c r="J14" s="103"/>
      <c r="K14" s="104"/>
    </row>
    <row r="15" spans="1:11" ht="39" customHeight="1">
      <c r="A15" s="902"/>
      <c r="B15" s="72" t="s">
        <v>585</v>
      </c>
      <c r="C15" s="105" t="s">
        <v>418</v>
      </c>
      <c r="D15" s="252" t="s">
        <v>463</v>
      </c>
      <c r="E15" s="103"/>
      <c r="F15" s="103"/>
      <c r="G15" s="103"/>
      <c r="H15" s="103"/>
      <c r="I15" s="103"/>
      <c r="J15" s="103"/>
      <c r="K15" s="104"/>
    </row>
    <row r="16" spans="1:11" ht="15" customHeight="1">
      <c r="A16" s="902"/>
      <c r="B16" s="107" t="s">
        <v>647</v>
      </c>
      <c r="C16" s="108"/>
      <c r="D16" s="253"/>
      <c r="E16" s="77">
        <f>SUM(F16:K16)</f>
        <v>3376</v>
      </c>
      <c r="F16" s="77">
        <v>0</v>
      </c>
      <c r="G16" s="77">
        <v>0</v>
      </c>
      <c r="H16" s="77">
        <v>0</v>
      </c>
      <c r="I16" s="77">
        <v>3376</v>
      </c>
      <c r="J16" s="77">
        <v>0</v>
      </c>
      <c r="K16" s="78">
        <v>0</v>
      </c>
    </row>
    <row r="17" spans="1:11" ht="15" customHeight="1" thickBot="1">
      <c r="A17" s="903"/>
      <c r="B17" s="109" t="s">
        <v>648</v>
      </c>
      <c r="C17" s="110"/>
      <c r="D17" s="254"/>
      <c r="E17" s="77">
        <f>SUM(F17:K17)</f>
        <v>3375.82</v>
      </c>
      <c r="F17" s="83">
        <v>0</v>
      </c>
      <c r="G17" s="83">
        <v>0</v>
      </c>
      <c r="H17" s="83">
        <v>0</v>
      </c>
      <c r="I17" s="83">
        <v>3375.82</v>
      </c>
      <c r="J17" s="83">
        <v>0</v>
      </c>
      <c r="K17" s="84">
        <v>0</v>
      </c>
    </row>
    <row r="18" spans="1:11" ht="22.5" customHeight="1" hidden="1" thickTop="1">
      <c r="A18" s="901" t="s">
        <v>241</v>
      </c>
      <c r="B18" s="67" t="s">
        <v>422</v>
      </c>
      <c r="C18" s="68"/>
      <c r="D18" s="250"/>
      <c r="E18" s="69"/>
      <c r="F18" s="69"/>
      <c r="G18" s="69"/>
      <c r="H18" s="69"/>
      <c r="I18" s="69"/>
      <c r="J18" s="69"/>
      <c r="K18" s="70"/>
    </row>
    <row r="19" spans="1:11" ht="15" customHeight="1" hidden="1">
      <c r="A19" s="902"/>
      <c r="B19" s="72" t="s">
        <v>429</v>
      </c>
      <c r="C19" s="73"/>
      <c r="D19" s="251"/>
      <c r="E19" s="74"/>
      <c r="F19" s="74"/>
      <c r="G19" s="74"/>
      <c r="H19" s="74"/>
      <c r="I19" s="74"/>
      <c r="J19" s="74"/>
      <c r="K19" s="75"/>
    </row>
    <row r="20" spans="1:11" ht="15" customHeight="1" hidden="1">
      <c r="A20" s="902"/>
      <c r="B20" s="72" t="s">
        <v>430</v>
      </c>
      <c r="C20" s="73"/>
      <c r="D20" s="252"/>
      <c r="E20" s="74"/>
      <c r="F20" s="74"/>
      <c r="G20" s="74"/>
      <c r="H20" s="74"/>
      <c r="I20" s="74"/>
      <c r="J20" s="74"/>
      <c r="K20" s="75"/>
    </row>
    <row r="21" spans="1:11" ht="25.5" customHeight="1" hidden="1">
      <c r="A21" s="902"/>
      <c r="B21" s="72" t="s">
        <v>495</v>
      </c>
      <c r="C21" s="105" t="s">
        <v>418</v>
      </c>
      <c r="D21" s="252" t="s">
        <v>463</v>
      </c>
      <c r="E21" s="74"/>
      <c r="F21" s="74"/>
      <c r="G21" s="74"/>
      <c r="H21" s="74"/>
      <c r="I21" s="74"/>
      <c r="J21" s="74"/>
      <c r="K21" s="75"/>
    </row>
    <row r="22" spans="1:11" ht="15" customHeight="1" hidden="1">
      <c r="A22" s="902"/>
      <c r="B22" s="107" t="s">
        <v>608</v>
      </c>
      <c r="C22" s="79"/>
      <c r="D22" s="255"/>
      <c r="E22" s="77">
        <f>SUM(F22:K22)</f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8">
        <v>0</v>
      </c>
    </row>
    <row r="23" spans="1:11" ht="15" customHeight="1" hidden="1" thickBot="1">
      <c r="A23" s="903"/>
      <c r="B23" s="109" t="s">
        <v>609</v>
      </c>
      <c r="C23" s="80"/>
      <c r="D23" s="256"/>
      <c r="E23" s="77">
        <f>SUM(F23:K23)</f>
        <v>0</v>
      </c>
      <c r="F23" s="83">
        <v>0</v>
      </c>
      <c r="G23" s="83">
        <v>0</v>
      </c>
      <c r="H23" s="83">
        <v>0</v>
      </c>
      <c r="I23" s="83"/>
      <c r="J23" s="83"/>
      <c r="K23" s="84">
        <v>0</v>
      </c>
    </row>
    <row r="24" spans="1:11" ht="22.5" customHeight="1" thickTop="1">
      <c r="A24" s="901" t="s">
        <v>241</v>
      </c>
      <c r="B24" s="67" t="s">
        <v>422</v>
      </c>
      <c r="C24" s="68"/>
      <c r="D24" s="250"/>
      <c r="E24" s="101"/>
      <c r="F24" s="101"/>
      <c r="G24" s="101"/>
      <c r="H24" s="101"/>
      <c r="I24" s="101"/>
      <c r="J24" s="101"/>
      <c r="K24" s="102"/>
    </row>
    <row r="25" spans="1:11" ht="15" customHeight="1">
      <c r="A25" s="902"/>
      <c r="B25" s="72" t="s">
        <v>429</v>
      </c>
      <c r="C25" s="73"/>
      <c r="D25" s="251"/>
      <c r="E25" s="103"/>
      <c r="F25" s="103"/>
      <c r="G25" s="103"/>
      <c r="H25" s="103"/>
      <c r="I25" s="103"/>
      <c r="J25" s="103"/>
      <c r="K25" s="104"/>
    </row>
    <row r="26" spans="1:11" ht="15" customHeight="1">
      <c r="A26" s="902"/>
      <c r="B26" s="72" t="s">
        <v>430</v>
      </c>
      <c r="C26" s="73"/>
      <c r="D26" s="251"/>
      <c r="E26" s="103"/>
      <c r="F26" s="103"/>
      <c r="G26" s="103"/>
      <c r="H26" s="103"/>
      <c r="I26" s="103"/>
      <c r="J26" s="103"/>
      <c r="K26" s="104"/>
    </row>
    <row r="27" spans="1:11" ht="21.75" customHeight="1">
      <c r="A27" s="902"/>
      <c r="B27" s="72" t="s">
        <v>657</v>
      </c>
      <c r="C27" s="105" t="s">
        <v>418</v>
      </c>
      <c r="D27" s="252" t="s">
        <v>463</v>
      </c>
      <c r="E27" s="103"/>
      <c r="F27" s="103"/>
      <c r="G27" s="103"/>
      <c r="H27" s="103"/>
      <c r="I27" s="103"/>
      <c r="J27" s="103"/>
      <c r="K27" s="104"/>
    </row>
    <row r="28" spans="1:11" ht="15" customHeight="1">
      <c r="A28" s="902"/>
      <c r="B28" s="107" t="s">
        <v>647</v>
      </c>
      <c r="C28" s="108"/>
      <c r="D28" s="253"/>
      <c r="E28" s="77">
        <f>SUM(F28:K28)</f>
        <v>4730</v>
      </c>
      <c r="F28" s="77">
        <v>0</v>
      </c>
      <c r="G28" s="77">
        <v>0</v>
      </c>
      <c r="H28" s="77">
        <v>0</v>
      </c>
      <c r="I28" s="77">
        <v>4730</v>
      </c>
      <c r="J28" s="77">
        <v>0</v>
      </c>
      <c r="K28" s="78">
        <v>0</v>
      </c>
    </row>
    <row r="29" spans="1:11" ht="15" customHeight="1" thickBot="1">
      <c r="A29" s="903"/>
      <c r="B29" s="109" t="s">
        <v>648</v>
      </c>
      <c r="C29" s="110"/>
      <c r="D29" s="254"/>
      <c r="E29" s="77">
        <f>SUM(F29:K29)</f>
        <v>4730.1</v>
      </c>
      <c r="F29" s="83">
        <v>0</v>
      </c>
      <c r="G29" s="83">
        <v>0</v>
      </c>
      <c r="H29" s="83">
        <v>0</v>
      </c>
      <c r="I29" s="83">
        <v>4730.1</v>
      </c>
      <c r="J29" s="83">
        <v>0</v>
      </c>
      <c r="K29" s="84">
        <v>0</v>
      </c>
    </row>
    <row r="30" spans="1:11" ht="22.5" customHeight="1" hidden="1" thickTop="1">
      <c r="A30" s="901" t="s">
        <v>243</v>
      </c>
      <c r="B30" s="67" t="s">
        <v>422</v>
      </c>
      <c r="C30" s="68"/>
      <c r="D30" s="250"/>
      <c r="E30" s="69"/>
      <c r="F30" s="69"/>
      <c r="G30" s="69"/>
      <c r="H30" s="69"/>
      <c r="I30" s="69"/>
      <c r="J30" s="69"/>
      <c r="K30" s="70"/>
    </row>
    <row r="31" spans="1:11" ht="15" customHeight="1" hidden="1">
      <c r="A31" s="902"/>
      <c r="B31" s="72" t="s">
        <v>429</v>
      </c>
      <c r="C31" s="73"/>
      <c r="D31" s="251"/>
      <c r="E31" s="74"/>
      <c r="F31" s="74"/>
      <c r="G31" s="74"/>
      <c r="H31" s="74"/>
      <c r="I31" s="74"/>
      <c r="J31" s="74"/>
      <c r="K31" s="75"/>
    </row>
    <row r="32" spans="1:11" ht="15" customHeight="1" hidden="1">
      <c r="A32" s="902"/>
      <c r="B32" s="72" t="s">
        <v>430</v>
      </c>
      <c r="C32" s="73"/>
      <c r="D32" s="252"/>
      <c r="E32" s="74"/>
      <c r="F32" s="74"/>
      <c r="G32" s="74"/>
      <c r="H32" s="74"/>
      <c r="I32" s="74"/>
      <c r="J32" s="74"/>
      <c r="K32" s="75"/>
    </row>
    <row r="33" spans="1:11" ht="25.5" customHeight="1" hidden="1">
      <c r="A33" s="902"/>
      <c r="B33" s="72" t="s">
        <v>511</v>
      </c>
      <c r="C33" s="105" t="s">
        <v>418</v>
      </c>
      <c r="D33" s="252" t="s">
        <v>463</v>
      </c>
      <c r="E33" s="74"/>
      <c r="F33" s="74"/>
      <c r="G33" s="74"/>
      <c r="H33" s="74"/>
      <c r="I33" s="74"/>
      <c r="J33" s="74"/>
      <c r="K33" s="75"/>
    </row>
    <row r="34" spans="1:11" ht="15" customHeight="1" hidden="1">
      <c r="A34" s="902"/>
      <c r="B34" s="107" t="s">
        <v>583</v>
      </c>
      <c r="C34" s="79"/>
      <c r="D34" s="255"/>
      <c r="E34" s="77">
        <f>SUM(F34:K34)</f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8">
        <v>0</v>
      </c>
    </row>
    <row r="35" spans="1:11" ht="15" customHeight="1" hidden="1" thickBot="1">
      <c r="A35" s="903"/>
      <c r="B35" s="109" t="s">
        <v>584</v>
      </c>
      <c r="C35" s="80"/>
      <c r="D35" s="256"/>
      <c r="E35" s="77">
        <f>SUM(F35:K35)</f>
        <v>0</v>
      </c>
      <c r="F35" s="83">
        <v>0</v>
      </c>
      <c r="G35" s="83">
        <v>0</v>
      </c>
      <c r="H35" s="83">
        <v>0</v>
      </c>
      <c r="I35" s="83"/>
      <c r="J35" s="83"/>
      <c r="K35" s="84">
        <v>0</v>
      </c>
    </row>
    <row r="36" spans="1:11" ht="22.5" customHeight="1" hidden="1" thickTop="1">
      <c r="A36" s="907" t="s">
        <v>244</v>
      </c>
      <c r="B36" s="67" t="s">
        <v>422</v>
      </c>
      <c r="C36" s="68"/>
      <c r="D36" s="250"/>
      <c r="E36" s="69"/>
      <c r="F36" s="69"/>
      <c r="G36" s="69"/>
      <c r="H36" s="69"/>
      <c r="I36" s="69"/>
      <c r="J36" s="69"/>
      <c r="K36" s="70"/>
    </row>
    <row r="37" spans="1:11" ht="15" customHeight="1" hidden="1">
      <c r="A37" s="908"/>
      <c r="B37" s="72" t="s">
        <v>429</v>
      </c>
      <c r="C37" s="73"/>
      <c r="D37" s="251"/>
      <c r="E37" s="74"/>
      <c r="F37" s="74"/>
      <c r="G37" s="74"/>
      <c r="H37" s="74"/>
      <c r="I37" s="74"/>
      <c r="J37" s="74"/>
      <c r="K37" s="75"/>
    </row>
    <row r="38" spans="1:11" ht="15" customHeight="1" hidden="1">
      <c r="A38" s="908"/>
      <c r="B38" s="72" t="s">
        <v>430</v>
      </c>
      <c r="C38" s="73"/>
      <c r="D38" s="252"/>
      <c r="E38" s="74"/>
      <c r="F38" s="74"/>
      <c r="G38" s="74"/>
      <c r="H38" s="74"/>
      <c r="I38" s="74"/>
      <c r="J38" s="74"/>
      <c r="K38" s="75"/>
    </row>
    <row r="39" spans="1:11" ht="26.25" customHeight="1" hidden="1">
      <c r="A39" s="908"/>
      <c r="B39" s="72" t="s">
        <v>512</v>
      </c>
      <c r="C39" s="105" t="s">
        <v>418</v>
      </c>
      <c r="D39" s="252" t="s">
        <v>463</v>
      </c>
      <c r="E39" s="74"/>
      <c r="F39" s="74"/>
      <c r="G39" s="74"/>
      <c r="H39" s="74"/>
      <c r="I39" s="74"/>
      <c r="J39" s="74"/>
      <c r="K39" s="75"/>
    </row>
    <row r="40" spans="1:11" ht="15" customHeight="1" hidden="1">
      <c r="A40" s="908"/>
      <c r="B40" s="107" t="s">
        <v>583</v>
      </c>
      <c r="C40" s="79"/>
      <c r="D40" s="255"/>
      <c r="E40" s="77">
        <f>SUM(F40:K40)</f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8">
        <v>0</v>
      </c>
    </row>
    <row r="41" spans="1:11" ht="15" customHeight="1" hidden="1" thickBot="1">
      <c r="A41" s="909"/>
      <c r="B41" s="109" t="s">
        <v>584</v>
      </c>
      <c r="C41" s="80"/>
      <c r="D41" s="256"/>
      <c r="E41" s="81">
        <f>SUM(F41:K41)</f>
        <v>0</v>
      </c>
      <c r="F41" s="83">
        <v>0</v>
      </c>
      <c r="G41" s="83">
        <v>0</v>
      </c>
      <c r="H41" s="83">
        <v>0</v>
      </c>
      <c r="I41" s="83"/>
      <c r="J41" s="83"/>
      <c r="K41" s="84">
        <v>0</v>
      </c>
    </row>
    <row r="42" spans="1:11" ht="22.5" customHeight="1" hidden="1" thickTop="1">
      <c r="A42" s="901" t="s">
        <v>245</v>
      </c>
      <c r="B42" s="67" t="s">
        <v>422</v>
      </c>
      <c r="C42" s="68"/>
      <c r="D42" s="250"/>
      <c r="E42" s="69"/>
      <c r="F42" s="69"/>
      <c r="G42" s="69"/>
      <c r="H42" s="69"/>
      <c r="I42" s="69"/>
      <c r="J42" s="69"/>
      <c r="K42" s="70"/>
    </row>
    <row r="43" spans="1:11" ht="15" customHeight="1" hidden="1">
      <c r="A43" s="902"/>
      <c r="B43" s="72" t="s">
        <v>429</v>
      </c>
      <c r="C43" s="73"/>
      <c r="D43" s="251"/>
      <c r="E43" s="74"/>
      <c r="F43" s="74"/>
      <c r="G43" s="74"/>
      <c r="H43" s="74"/>
      <c r="I43" s="74"/>
      <c r="J43" s="74"/>
      <c r="K43" s="75"/>
    </row>
    <row r="44" spans="1:11" ht="15" customHeight="1" hidden="1">
      <c r="A44" s="902"/>
      <c r="B44" s="72" t="s">
        <v>430</v>
      </c>
      <c r="C44" s="73"/>
      <c r="D44" s="252"/>
      <c r="E44" s="74"/>
      <c r="F44" s="74"/>
      <c r="G44" s="74"/>
      <c r="H44" s="74"/>
      <c r="I44" s="74"/>
      <c r="J44" s="74"/>
      <c r="K44" s="75"/>
    </row>
    <row r="45" spans="1:11" ht="23.25" customHeight="1" hidden="1">
      <c r="A45" s="902"/>
      <c r="B45" s="72" t="s">
        <v>513</v>
      </c>
      <c r="C45" s="105" t="s">
        <v>418</v>
      </c>
      <c r="D45" s="252" t="s">
        <v>463</v>
      </c>
      <c r="E45" s="74"/>
      <c r="F45" s="74"/>
      <c r="G45" s="74"/>
      <c r="H45" s="74"/>
      <c r="I45" s="74"/>
      <c r="J45" s="74"/>
      <c r="K45" s="75"/>
    </row>
    <row r="46" spans="1:11" ht="15" customHeight="1" hidden="1">
      <c r="A46" s="902"/>
      <c r="B46" s="107" t="s">
        <v>583</v>
      </c>
      <c r="C46" s="79"/>
      <c r="D46" s="255"/>
      <c r="E46" s="77">
        <f>SUM(F46:K46)</f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8">
        <v>0</v>
      </c>
    </row>
    <row r="47" spans="1:11" ht="15" customHeight="1" hidden="1" thickBot="1">
      <c r="A47" s="903"/>
      <c r="B47" s="109" t="s">
        <v>584</v>
      </c>
      <c r="C47" s="80"/>
      <c r="D47" s="256"/>
      <c r="E47" s="81">
        <f>SUM(F47:K47)</f>
        <v>0</v>
      </c>
      <c r="F47" s="83">
        <v>0</v>
      </c>
      <c r="G47" s="83">
        <v>0</v>
      </c>
      <c r="H47" s="83">
        <v>0</v>
      </c>
      <c r="I47" s="83"/>
      <c r="J47" s="83"/>
      <c r="K47" s="84">
        <v>0</v>
      </c>
    </row>
    <row r="48" spans="1:11" ht="36" customHeight="1" hidden="1" thickTop="1">
      <c r="A48" s="914" t="s">
        <v>246</v>
      </c>
      <c r="B48" s="239" t="s">
        <v>519</v>
      </c>
      <c r="C48" s="240"/>
      <c r="D48" s="240"/>
      <c r="E48" s="230"/>
      <c r="F48" s="231"/>
      <c r="G48" s="231"/>
      <c r="H48" s="231"/>
      <c r="I48" s="231"/>
      <c r="J48" s="231"/>
      <c r="K48" s="232"/>
    </row>
    <row r="49" spans="1:11" ht="26.25" customHeight="1" hidden="1">
      <c r="A49" s="915"/>
      <c r="B49" s="72" t="s">
        <v>520</v>
      </c>
      <c r="C49" s="105"/>
      <c r="D49" s="105"/>
      <c r="E49" s="233"/>
      <c r="F49" s="234"/>
      <c r="G49" s="234"/>
      <c r="H49" s="234"/>
      <c r="I49" s="234"/>
      <c r="J49" s="234"/>
      <c r="K49" s="235"/>
    </row>
    <row r="50" spans="1:11" ht="24" customHeight="1" hidden="1">
      <c r="A50" s="915"/>
      <c r="B50" s="72" t="s">
        <v>521</v>
      </c>
      <c r="C50" s="105"/>
      <c r="D50" s="105"/>
      <c r="E50" s="233"/>
      <c r="F50" s="234"/>
      <c r="G50" s="234"/>
      <c r="H50" s="234"/>
      <c r="I50" s="234"/>
      <c r="J50" s="234"/>
      <c r="K50" s="235"/>
    </row>
    <row r="51" spans="1:11" ht="27.75" customHeight="1" hidden="1">
      <c r="A51" s="915"/>
      <c r="B51" s="72" t="s">
        <v>526</v>
      </c>
      <c r="C51" s="105" t="s">
        <v>418</v>
      </c>
      <c r="D51" s="241" t="s">
        <v>472</v>
      </c>
      <c r="E51" s="233"/>
      <c r="F51" s="234"/>
      <c r="G51" s="234"/>
      <c r="H51" s="234"/>
      <c r="I51" s="234"/>
      <c r="J51" s="234"/>
      <c r="K51" s="235"/>
    </row>
    <row r="52" spans="1:11" ht="15" customHeight="1" hidden="1">
      <c r="A52" s="915"/>
      <c r="B52" s="236" t="s">
        <v>470</v>
      </c>
      <c r="C52" s="237"/>
      <c r="D52" s="237"/>
      <c r="E52" s="77">
        <f>SUM(F52:K52)</f>
        <v>0</v>
      </c>
      <c r="F52" s="234">
        <v>0</v>
      </c>
      <c r="G52" s="234">
        <v>0</v>
      </c>
      <c r="H52" s="234">
        <v>0</v>
      </c>
      <c r="I52" s="234">
        <v>0</v>
      </c>
      <c r="J52" s="234">
        <v>0</v>
      </c>
      <c r="K52" s="235">
        <v>0</v>
      </c>
    </row>
    <row r="53" spans="1:11" ht="15" customHeight="1" hidden="1" thickBot="1">
      <c r="A53" s="916"/>
      <c r="B53" s="109" t="s">
        <v>494</v>
      </c>
      <c r="C53" s="229"/>
      <c r="D53" s="229"/>
      <c r="E53" s="81">
        <f>SUM(F53:K53)</f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2">
        <v>0</v>
      </c>
    </row>
    <row r="54" spans="1:11" ht="27" customHeight="1" hidden="1" thickTop="1">
      <c r="A54" s="907" t="s">
        <v>247</v>
      </c>
      <c r="B54" s="67" t="s">
        <v>422</v>
      </c>
      <c r="C54" s="95"/>
      <c r="D54" s="120"/>
      <c r="E54" s="69"/>
      <c r="F54" s="69"/>
      <c r="G54" s="69"/>
      <c r="H54" s="69"/>
      <c r="I54" s="69"/>
      <c r="J54" s="69"/>
      <c r="K54" s="70"/>
    </row>
    <row r="55" spans="1:11" ht="15" customHeight="1" hidden="1">
      <c r="A55" s="908"/>
      <c r="B55" s="72" t="s">
        <v>429</v>
      </c>
      <c r="C55" s="89"/>
      <c r="D55" s="123"/>
      <c r="E55" s="74"/>
      <c r="F55" s="74"/>
      <c r="G55" s="74"/>
      <c r="H55" s="74"/>
      <c r="I55" s="74"/>
      <c r="J55" s="74"/>
      <c r="K55" s="75"/>
    </row>
    <row r="56" spans="1:11" ht="15" customHeight="1" hidden="1">
      <c r="A56" s="908"/>
      <c r="B56" s="72" t="s">
        <v>430</v>
      </c>
      <c r="C56" s="105"/>
      <c r="D56" s="123"/>
      <c r="E56" s="74"/>
      <c r="F56" s="74"/>
      <c r="G56" s="74"/>
      <c r="H56" s="74"/>
      <c r="I56" s="74"/>
      <c r="J56" s="74"/>
      <c r="K56" s="75"/>
    </row>
    <row r="57" spans="1:11" ht="31.5" customHeight="1" hidden="1">
      <c r="A57" s="908"/>
      <c r="B57" s="93" t="s">
        <v>496</v>
      </c>
      <c r="C57" s="105" t="s">
        <v>418</v>
      </c>
      <c r="D57" s="257" t="s">
        <v>472</v>
      </c>
      <c r="E57" s="74"/>
      <c r="F57" s="74"/>
      <c r="G57" s="74"/>
      <c r="H57" s="74"/>
      <c r="I57" s="74"/>
      <c r="J57" s="74"/>
      <c r="K57" s="75"/>
    </row>
    <row r="58" spans="1:11" ht="15" customHeight="1" hidden="1">
      <c r="A58" s="908"/>
      <c r="B58" s="107" t="s">
        <v>583</v>
      </c>
      <c r="C58" s="89"/>
      <c r="D58" s="123"/>
      <c r="E58" s="77">
        <f>SUM(F58:K58)</f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8">
        <v>0</v>
      </c>
    </row>
    <row r="59" spans="1:11" ht="15" customHeight="1" hidden="1" thickBot="1">
      <c r="A59" s="909"/>
      <c r="B59" s="109" t="s">
        <v>584</v>
      </c>
      <c r="C59" s="94"/>
      <c r="D59" s="258"/>
      <c r="E59" s="77">
        <f>SUM(F59:K59)</f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4">
        <v>0</v>
      </c>
    </row>
    <row r="60" spans="1:11" ht="34.5" customHeight="1" hidden="1" thickTop="1">
      <c r="A60" s="907" t="s">
        <v>248</v>
      </c>
      <c r="B60" s="67" t="s">
        <v>519</v>
      </c>
      <c r="C60" s="95"/>
      <c r="D60" s="120"/>
      <c r="E60" s="69"/>
      <c r="F60" s="69"/>
      <c r="G60" s="69"/>
      <c r="H60" s="69"/>
      <c r="I60" s="69"/>
      <c r="J60" s="69"/>
      <c r="K60" s="70"/>
    </row>
    <row r="61" spans="1:11" ht="24.75" customHeight="1" hidden="1">
      <c r="A61" s="908"/>
      <c r="B61" s="72" t="s">
        <v>520</v>
      </c>
      <c r="C61" s="89"/>
      <c r="D61" s="123"/>
      <c r="E61" s="74"/>
      <c r="F61" s="74"/>
      <c r="G61" s="74"/>
      <c r="H61" s="74"/>
      <c r="I61" s="74"/>
      <c r="J61" s="74"/>
      <c r="K61" s="75"/>
    </row>
    <row r="62" spans="1:11" ht="18.75" customHeight="1" hidden="1">
      <c r="A62" s="908"/>
      <c r="B62" s="72" t="s">
        <v>521</v>
      </c>
      <c r="C62" s="105"/>
      <c r="D62" s="123"/>
      <c r="E62" s="74"/>
      <c r="F62" s="74"/>
      <c r="G62" s="74"/>
      <c r="H62" s="74"/>
      <c r="I62" s="74"/>
      <c r="J62" s="74"/>
      <c r="K62" s="75"/>
    </row>
    <row r="63" spans="1:11" ht="27.75" customHeight="1" hidden="1">
      <c r="A63" s="908"/>
      <c r="B63" s="93" t="s">
        <v>528</v>
      </c>
      <c r="C63" s="105" t="s">
        <v>418</v>
      </c>
      <c r="D63" s="257" t="s">
        <v>472</v>
      </c>
      <c r="E63" s="74"/>
      <c r="F63" s="74"/>
      <c r="G63" s="74"/>
      <c r="H63" s="74"/>
      <c r="I63" s="74"/>
      <c r="J63" s="74"/>
      <c r="K63" s="75"/>
    </row>
    <row r="64" spans="1:11" ht="15" customHeight="1" hidden="1">
      <c r="A64" s="908"/>
      <c r="B64" s="107" t="s">
        <v>583</v>
      </c>
      <c r="C64" s="89"/>
      <c r="D64" s="123"/>
      <c r="E64" s="77">
        <f>SUM(F64:K64)</f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8">
        <v>0</v>
      </c>
    </row>
    <row r="65" spans="1:11" ht="15" customHeight="1" hidden="1" thickBot="1">
      <c r="A65" s="909"/>
      <c r="B65" s="109" t="s">
        <v>584</v>
      </c>
      <c r="C65" s="94"/>
      <c r="D65" s="258"/>
      <c r="E65" s="81">
        <f>SUM(F65:K65)</f>
        <v>0</v>
      </c>
      <c r="F65" s="83">
        <v>0</v>
      </c>
      <c r="G65" s="83">
        <v>0</v>
      </c>
      <c r="H65" s="83">
        <v>0</v>
      </c>
      <c r="I65" s="83"/>
      <c r="J65" s="83"/>
      <c r="K65" s="84">
        <v>0</v>
      </c>
    </row>
    <row r="66" spans="1:11" ht="24" customHeight="1" hidden="1" thickTop="1">
      <c r="A66" s="901" t="s">
        <v>249</v>
      </c>
      <c r="B66" s="67" t="s">
        <v>422</v>
      </c>
      <c r="C66" s="68"/>
      <c r="D66" s="250"/>
      <c r="E66" s="69"/>
      <c r="F66" s="69"/>
      <c r="G66" s="69"/>
      <c r="H66" s="69"/>
      <c r="I66" s="69"/>
      <c r="J66" s="69"/>
      <c r="K66" s="70"/>
    </row>
    <row r="67" spans="1:11" ht="22.5" customHeight="1" hidden="1">
      <c r="A67" s="902"/>
      <c r="B67" s="72" t="s">
        <v>423</v>
      </c>
      <c r="C67" s="73"/>
      <c r="D67" s="251"/>
      <c r="E67" s="74"/>
      <c r="F67" s="74"/>
      <c r="G67" s="74"/>
      <c r="H67" s="74"/>
      <c r="I67" s="74"/>
      <c r="J67" s="74"/>
      <c r="K67" s="75"/>
    </row>
    <row r="68" spans="1:11" ht="15.75" customHeight="1" hidden="1">
      <c r="A68" s="902"/>
      <c r="B68" s="72" t="s">
        <v>424</v>
      </c>
      <c r="C68" s="73"/>
      <c r="D68" s="252"/>
      <c r="E68" s="74"/>
      <c r="F68" s="74"/>
      <c r="G68" s="74"/>
      <c r="H68" s="74"/>
      <c r="I68" s="74"/>
      <c r="J68" s="74"/>
      <c r="K68" s="75"/>
    </row>
    <row r="69" spans="1:11" ht="33" customHeight="1" hidden="1">
      <c r="A69" s="902"/>
      <c r="B69" s="72" t="s">
        <v>466</v>
      </c>
      <c r="C69" s="105" t="s">
        <v>418</v>
      </c>
      <c r="D69" s="252" t="s">
        <v>464</v>
      </c>
      <c r="E69" s="74"/>
      <c r="F69" s="74"/>
      <c r="G69" s="74"/>
      <c r="H69" s="74"/>
      <c r="I69" s="74"/>
      <c r="J69" s="74"/>
      <c r="K69" s="75"/>
    </row>
    <row r="70" spans="1:11" ht="15" customHeight="1" hidden="1">
      <c r="A70" s="902"/>
      <c r="B70" s="107" t="s">
        <v>583</v>
      </c>
      <c r="C70" s="79"/>
      <c r="D70" s="255"/>
      <c r="E70" s="77">
        <f>SUM(F70:K70)</f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8">
        <v>0</v>
      </c>
    </row>
    <row r="71" spans="1:11" ht="15" customHeight="1" hidden="1" thickBot="1">
      <c r="A71" s="903"/>
      <c r="B71" s="109" t="s">
        <v>584</v>
      </c>
      <c r="C71" s="82"/>
      <c r="D71" s="259"/>
      <c r="E71" s="81">
        <f>SUM(F71:K71)</f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4">
        <v>0</v>
      </c>
    </row>
    <row r="72" spans="1:11" ht="34.5" thickTop="1">
      <c r="A72" s="901" t="s">
        <v>242</v>
      </c>
      <c r="B72" s="67" t="s">
        <v>425</v>
      </c>
      <c r="C72" s="85"/>
      <c r="D72" s="260"/>
      <c r="E72" s="69"/>
      <c r="F72" s="69"/>
      <c r="G72" s="69"/>
      <c r="H72" s="69"/>
      <c r="I72" s="69"/>
      <c r="J72" s="69"/>
      <c r="K72" s="70"/>
    </row>
    <row r="73" spans="1:11" ht="22.5">
      <c r="A73" s="902"/>
      <c r="B73" s="72" t="s">
        <v>426</v>
      </c>
      <c r="C73" s="86"/>
      <c r="D73" s="261"/>
      <c r="E73" s="74"/>
      <c r="F73" s="74"/>
      <c r="G73" s="74"/>
      <c r="H73" s="74"/>
      <c r="I73" s="74"/>
      <c r="J73" s="74"/>
      <c r="K73" s="75"/>
    </row>
    <row r="74" spans="1:11" ht="22.5">
      <c r="A74" s="902"/>
      <c r="B74" s="72" t="s">
        <v>427</v>
      </c>
      <c r="C74" s="86"/>
      <c r="D74" s="261"/>
      <c r="E74" s="74"/>
      <c r="F74" s="74"/>
      <c r="G74" s="74"/>
      <c r="H74" s="74"/>
      <c r="I74" s="74"/>
      <c r="J74" s="74"/>
      <c r="K74" s="75"/>
    </row>
    <row r="75" spans="1:11" ht="48" customHeight="1">
      <c r="A75" s="902"/>
      <c r="B75" s="72" t="s">
        <v>428</v>
      </c>
      <c r="C75" s="105" t="s">
        <v>468</v>
      </c>
      <c r="D75" s="252" t="s">
        <v>420</v>
      </c>
      <c r="E75" s="74"/>
      <c r="F75" s="74"/>
      <c r="G75" s="74"/>
      <c r="H75" s="74"/>
      <c r="I75" s="74"/>
      <c r="J75" s="74"/>
      <c r="K75" s="75"/>
    </row>
    <row r="76" spans="1:11" ht="12.75">
      <c r="A76" s="902"/>
      <c r="B76" s="107" t="s">
        <v>647</v>
      </c>
      <c r="C76" s="79"/>
      <c r="D76" s="255"/>
      <c r="E76" s="77">
        <f>SUM(F76:K76)</f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8">
        <v>0</v>
      </c>
    </row>
    <row r="77" spans="1:11" ht="13.5" thickBot="1">
      <c r="A77" s="903"/>
      <c r="B77" s="109" t="s">
        <v>648</v>
      </c>
      <c r="C77" s="80"/>
      <c r="D77" s="256"/>
      <c r="E77" s="77">
        <f>SUM(F77:K77)</f>
        <v>67615.74</v>
      </c>
      <c r="F77" s="83">
        <v>0</v>
      </c>
      <c r="G77" s="83">
        <v>0</v>
      </c>
      <c r="H77" s="83">
        <v>0</v>
      </c>
      <c r="I77" s="83">
        <v>0</v>
      </c>
      <c r="J77" s="83">
        <v>67615.74</v>
      </c>
      <c r="K77" s="84">
        <v>0</v>
      </c>
    </row>
    <row r="78" spans="1:11" ht="12.75" hidden="1" thickTop="1">
      <c r="A78" s="901" t="s">
        <v>243</v>
      </c>
      <c r="B78" s="67" t="s">
        <v>438</v>
      </c>
      <c r="C78" s="68"/>
      <c r="D78" s="250"/>
      <c r="E78" s="69"/>
      <c r="F78" s="69"/>
      <c r="G78" s="69"/>
      <c r="H78" s="69"/>
      <c r="I78" s="69"/>
      <c r="J78" s="69"/>
      <c r="K78" s="70"/>
    </row>
    <row r="79" spans="1:11" ht="12" hidden="1">
      <c r="A79" s="902"/>
      <c r="B79" s="72" t="s">
        <v>439</v>
      </c>
      <c r="C79" s="73"/>
      <c r="D79" s="251"/>
      <c r="E79" s="74"/>
      <c r="F79" s="74"/>
      <c r="G79" s="74"/>
      <c r="H79" s="74"/>
      <c r="I79" s="74"/>
      <c r="J79" s="74"/>
      <c r="K79" s="75"/>
    </row>
    <row r="80" spans="1:11" ht="12" hidden="1">
      <c r="A80" s="902"/>
      <c r="B80" s="72" t="s">
        <v>440</v>
      </c>
      <c r="C80" s="73"/>
      <c r="D80" s="252"/>
      <c r="E80" s="74"/>
      <c r="F80" s="74"/>
      <c r="G80" s="74"/>
      <c r="H80" s="74"/>
      <c r="I80" s="74"/>
      <c r="J80" s="74"/>
      <c r="K80" s="75"/>
    </row>
    <row r="81" spans="1:11" ht="22.5" hidden="1">
      <c r="A81" s="902"/>
      <c r="B81" s="72" t="s">
        <v>500</v>
      </c>
      <c r="C81" s="224" t="s">
        <v>451</v>
      </c>
      <c r="D81" s="241" t="s">
        <v>421</v>
      </c>
      <c r="E81" s="74"/>
      <c r="F81" s="74"/>
      <c r="G81" s="74"/>
      <c r="H81" s="74"/>
      <c r="I81" s="74"/>
      <c r="J81" s="74"/>
      <c r="K81" s="75"/>
    </row>
    <row r="82" spans="1:11" ht="12.75" hidden="1">
      <c r="A82" s="902"/>
      <c r="B82" s="107" t="s">
        <v>647</v>
      </c>
      <c r="C82" s="79"/>
      <c r="D82" s="255"/>
      <c r="E82" s="77">
        <f>SUM(F82:K82)</f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8">
        <v>0</v>
      </c>
    </row>
    <row r="83" spans="1:11" ht="13.5" hidden="1" thickBot="1">
      <c r="A83" s="903"/>
      <c r="B83" s="109" t="s">
        <v>648</v>
      </c>
      <c r="C83" s="80"/>
      <c r="D83" s="256"/>
      <c r="E83" s="81">
        <f>SUM(F83:K83)</f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4">
        <v>0</v>
      </c>
    </row>
    <row r="84" spans="1:11" ht="12.75" hidden="1" thickTop="1">
      <c r="A84" s="901" t="s">
        <v>244</v>
      </c>
      <c r="B84" s="67" t="s">
        <v>541</v>
      </c>
      <c r="C84" s="68"/>
      <c r="D84" s="250"/>
      <c r="E84" s="69"/>
      <c r="F84" s="69"/>
      <c r="G84" s="69"/>
      <c r="H84" s="69"/>
      <c r="I84" s="69"/>
      <c r="J84" s="69"/>
      <c r="K84" s="70"/>
    </row>
    <row r="85" spans="1:11" ht="12" hidden="1">
      <c r="A85" s="902"/>
      <c r="B85" s="72" t="s">
        <v>439</v>
      </c>
      <c r="C85" s="73"/>
      <c r="D85" s="251"/>
      <c r="E85" s="74"/>
      <c r="F85" s="74"/>
      <c r="G85" s="74"/>
      <c r="H85" s="74"/>
      <c r="I85" s="74"/>
      <c r="J85" s="74"/>
      <c r="K85" s="75"/>
    </row>
    <row r="86" spans="1:11" ht="12" hidden="1">
      <c r="A86" s="902"/>
      <c r="B86" s="72" t="s">
        <v>440</v>
      </c>
      <c r="C86" s="73"/>
      <c r="D86" s="252"/>
      <c r="E86" s="74"/>
      <c r="F86" s="74"/>
      <c r="G86" s="74"/>
      <c r="H86" s="74"/>
      <c r="I86" s="74"/>
      <c r="J86" s="74"/>
      <c r="K86" s="75"/>
    </row>
    <row r="87" spans="1:11" ht="22.5" hidden="1">
      <c r="A87" s="902"/>
      <c r="B87" s="72" t="s">
        <v>540</v>
      </c>
      <c r="C87" s="224" t="s">
        <v>451</v>
      </c>
      <c r="D87" s="241" t="s">
        <v>421</v>
      </c>
      <c r="E87" s="74"/>
      <c r="F87" s="74"/>
      <c r="G87" s="74"/>
      <c r="H87" s="74"/>
      <c r="I87" s="74"/>
      <c r="J87" s="74"/>
      <c r="K87" s="75"/>
    </row>
    <row r="88" spans="1:11" ht="12.75" hidden="1">
      <c r="A88" s="902"/>
      <c r="B88" s="107" t="s">
        <v>647</v>
      </c>
      <c r="C88" s="79"/>
      <c r="D88" s="255"/>
      <c r="E88" s="77">
        <f>SUM(F88:K88)</f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8">
        <v>0</v>
      </c>
    </row>
    <row r="89" spans="1:11" ht="13.5" hidden="1" thickBot="1">
      <c r="A89" s="903"/>
      <c r="B89" s="109" t="s">
        <v>648</v>
      </c>
      <c r="C89" s="80"/>
      <c r="D89" s="256"/>
      <c r="E89" s="81">
        <f>SUM(F89:K89)</f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4">
        <v>0</v>
      </c>
    </row>
    <row r="90" spans="1:11" ht="23.25" thickTop="1">
      <c r="A90" s="901" t="s">
        <v>243</v>
      </c>
      <c r="B90" s="67" t="s">
        <v>417</v>
      </c>
      <c r="C90" s="68"/>
      <c r="D90" s="68"/>
      <c r="E90" s="101"/>
      <c r="F90" s="101"/>
      <c r="G90" s="101"/>
      <c r="H90" s="101"/>
      <c r="I90" s="101"/>
      <c r="J90" s="101"/>
      <c r="K90" s="102"/>
    </row>
    <row r="91" spans="1:11" ht="22.5">
      <c r="A91" s="902"/>
      <c r="B91" s="72" t="s">
        <v>419</v>
      </c>
      <c r="C91" s="73"/>
      <c r="D91" s="73"/>
      <c r="E91" s="103"/>
      <c r="F91" s="103"/>
      <c r="G91" s="103"/>
      <c r="H91" s="103"/>
      <c r="I91" s="103"/>
      <c r="J91" s="103"/>
      <c r="K91" s="104"/>
    </row>
    <row r="92" spans="1:11" ht="33.75">
      <c r="A92" s="902"/>
      <c r="B92" s="72" t="s">
        <v>488</v>
      </c>
      <c r="C92" s="73"/>
      <c r="D92" s="73"/>
      <c r="E92" s="103"/>
      <c r="F92" s="103"/>
      <c r="G92" s="103"/>
      <c r="H92" s="103"/>
      <c r="I92" s="103"/>
      <c r="J92" s="103"/>
      <c r="K92" s="104"/>
    </row>
    <row r="93" spans="1:11" ht="22.5">
      <c r="A93" s="902"/>
      <c r="B93" s="72" t="s">
        <v>489</v>
      </c>
      <c r="C93" s="105" t="s">
        <v>418</v>
      </c>
      <c r="D93" s="76" t="s">
        <v>421</v>
      </c>
      <c r="E93" s="103"/>
      <c r="F93" s="103"/>
      <c r="G93" s="103"/>
      <c r="H93" s="103"/>
      <c r="I93" s="103"/>
      <c r="J93" s="103"/>
      <c r="K93" s="104"/>
    </row>
    <row r="94" spans="1:11" ht="12.75">
      <c r="A94" s="902"/>
      <c r="B94" s="107" t="s">
        <v>647</v>
      </c>
      <c r="C94" s="108"/>
      <c r="D94" s="108"/>
      <c r="E94" s="77">
        <f>SUM(F94:K94)</f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8">
        <v>0</v>
      </c>
    </row>
    <row r="95" spans="1:11" ht="13.5" thickBot="1">
      <c r="A95" s="903"/>
      <c r="B95" s="109" t="s">
        <v>648</v>
      </c>
      <c r="C95" s="110"/>
      <c r="D95" s="110"/>
      <c r="E95" s="81">
        <f>SUM(F95:K95)</f>
        <v>358690.63</v>
      </c>
      <c r="F95" s="83">
        <v>0</v>
      </c>
      <c r="G95" s="83">
        <f>358690.63</f>
        <v>358690.63</v>
      </c>
      <c r="H95" s="83">
        <v>0</v>
      </c>
      <c r="I95" s="83">
        <v>0</v>
      </c>
      <c r="J95" s="83">
        <v>0</v>
      </c>
      <c r="K95" s="84">
        <v>0</v>
      </c>
    </row>
    <row r="96" spans="1:11" ht="23.25" thickTop="1">
      <c r="A96" s="901" t="s">
        <v>244</v>
      </c>
      <c r="B96" s="67" t="s">
        <v>417</v>
      </c>
      <c r="C96" s="68"/>
      <c r="D96" s="250"/>
      <c r="E96" s="101"/>
      <c r="F96" s="101"/>
      <c r="G96" s="101"/>
      <c r="H96" s="101"/>
      <c r="I96" s="101"/>
      <c r="J96" s="101"/>
      <c r="K96" s="102"/>
    </row>
    <row r="97" spans="1:11" ht="22.5">
      <c r="A97" s="902"/>
      <c r="B97" s="72" t="s">
        <v>490</v>
      </c>
      <c r="C97" s="73"/>
      <c r="D97" s="251"/>
      <c r="E97" s="103"/>
      <c r="F97" s="103"/>
      <c r="G97" s="103"/>
      <c r="H97" s="103"/>
      <c r="I97" s="103"/>
      <c r="J97" s="103"/>
      <c r="K97" s="104"/>
    </row>
    <row r="98" spans="1:11" ht="22.5">
      <c r="A98" s="902"/>
      <c r="B98" s="72" t="s">
        <v>491</v>
      </c>
      <c r="C98" s="73"/>
      <c r="D98" s="251"/>
      <c r="E98" s="103"/>
      <c r="F98" s="103"/>
      <c r="G98" s="103"/>
      <c r="H98" s="103"/>
      <c r="I98" s="103"/>
      <c r="J98" s="103"/>
      <c r="K98" s="104"/>
    </row>
    <row r="99" spans="1:11" ht="12">
      <c r="A99" s="902"/>
      <c r="B99" s="72" t="s">
        <v>492</v>
      </c>
      <c r="C99" s="73"/>
      <c r="D99" s="251"/>
      <c r="E99" s="103"/>
      <c r="F99" s="103"/>
      <c r="G99" s="103"/>
      <c r="H99" s="103"/>
      <c r="I99" s="103"/>
      <c r="J99" s="103"/>
      <c r="K99" s="104"/>
    </row>
    <row r="100" spans="1:11" ht="39.75" customHeight="1">
      <c r="A100" s="902"/>
      <c r="B100" s="72" t="s">
        <v>542</v>
      </c>
      <c r="C100" s="105" t="s">
        <v>418</v>
      </c>
      <c r="D100" s="252" t="s">
        <v>421</v>
      </c>
      <c r="E100" s="103"/>
      <c r="F100" s="103"/>
      <c r="G100" s="103"/>
      <c r="H100" s="103"/>
      <c r="I100" s="103"/>
      <c r="J100" s="103"/>
      <c r="K100" s="104"/>
    </row>
    <row r="101" spans="1:11" ht="12.75">
      <c r="A101" s="902"/>
      <c r="B101" s="107" t="s">
        <v>647</v>
      </c>
      <c r="C101" s="108"/>
      <c r="D101" s="253"/>
      <c r="E101" s="77">
        <f>SUM(F101:K101)</f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8">
        <v>0</v>
      </c>
    </row>
    <row r="102" spans="1:11" ht="13.5" thickBot="1">
      <c r="A102" s="903"/>
      <c r="B102" s="109" t="s">
        <v>648</v>
      </c>
      <c r="C102" s="110"/>
      <c r="D102" s="254"/>
      <c r="E102" s="81">
        <f>SUM(F102:K102)</f>
        <v>789509.63</v>
      </c>
      <c r="F102" s="83">
        <v>0</v>
      </c>
      <c r="G102" s="83">
        <f>789509.63</f>
        <v>789509.63</v>
      </c>
      <c r="H102" s="83">
        <v>0</v>
      </c>
      <c r="I102" s="83">
        <v>0</v>
      </c>
      <c r="J102" s="83">
        <v>0</v>
      </c>
      <c r="K102" s="84">
        <v>0</v>
      </c>
    </row>
    <row r="103" spans="1:11" ht="34.5" thickTop="1">
      <c r="A103" s="901" t="s">
        <v>245</v>
      </c>
      <c r="B103" s="67" t="s">
        <v>587</v>
      </c>
      <c r="C103" s="68"/>
      <c r="D103" s="250"/>
      <c r="E103" s="101"/>
      <c r="F103" s="101"/>
      <c r="G103" s="101"/>
      <c r="H103" s="101"/>
      <c r="I103" s="101"/>
      <c r="J103" s="101"/>
      <c r="K103" s="102"/>
    </row>
    <row r="104" spans="1:11" ht="22.5">
      <c r="A104" s="902"/>
      <c r="B104" s="72" t="s">
        <v>588</v>
      </c>
      <c r="C104" s="73"/>
      <c r="D104" s="251"/>
      <c r="E104" s="103"/>
      <c r="F104" s="103"/>
      <c r="G104" s="103"/>
      <c r="H104" s="103"/>
      <c r="I104" s="103"/>
      <c r="J104" s="103"/>
      <c r="K104" s="104"/>
    </row>
    <row r="105" spans="1:11" ht="56.25">
      <c r="A105" s="902"/>
      <c r="B105" s="72" t="s">
        <v>589</v>
      </c>
      <c r="C105" s="73"/>
      <c r="D105" s="251"/>
      <c r="E105" s="103"/>
      <c r="F105" s="103"/>
      <c r="G105" s="103"/>
      <c r="H105" s="103"/>
      <c r="I105" s="103"/>
      <c r="J105" s="103"/>
      <c r="K105" s="104"/>
    </row>
    <row r="106" spans="1:11" ht="37.5" customHeight="1">
      <c r="A106" s="902"/>
      <c r="B106" s="72" t="s">
        <v>590</v>
      </c>
      <c r="C106" s="105" t="s">
        <v>418</v>
      </c>
      <c r="D106" s="252" t="s">
        <v>421</v>
      </c>
      <c r="E106" s="103"/>
      <c r="F106" s="103"/>
      <c r="G106" s="103"/>
      <c r="H106" s="103"/>
      <c r="I106" s="103"/>
      <c r="J106" s="103"/>
      <c r="K106" s="104"/>
    </row>
    <row r="107" spans="1:11" ht="12.75">
      <c r="A107" s="902"/>
      <c r="B107" s="107" t="s">
        <v>647</v>
      </c>
      <c r="C107" s="108"/>
      <c r="D107" s="253"/>
      <c r="E107" s="77">
        <f>SUM(F107:K107)</f>
        <v>51204</v>
      </c>
      <c r="F107" s="77">
        <v>0</v>
      </c>
      <c r="G107" s="77">
        <v>0</v>
      </c>
      <c r="H107" s="77">
        <v>0</v>
      </c>
      <c r="I107" s="77">
        <v>12801</v>
      </c>
      <c r="J107" s="77">
        <v>38403</v>
      </c>
      <c r="K107" s="78">
        <v>0</v>
      </c>
    </row>
    <row r="108" spans="1:11" ht="13.5" thickBot="1">
      <c r="A108" s="903"/>
      <c r="B108" s="109" t="s">
        <v>648</v>
      </c>
      <c r="C108" s="110"/>
      <c r="D108" s="254"/>
      <c r="E108" s="81">
        <f>SUM(F108:K108)</f>
        <v>45102.350000000006</v>
      </c>
      <c r="F108" s="83">
        <v>0</v>
      </c>
      <c r="G108" s="83">
        <v>0</v>
      </c>
      <c r="H108" s="83">
        <v>0</v>
      </c>
      <c r="I108" s="83">
        <f>12801.07-1525.48</f>
        <v>11275.59</v>
      </c>
      <c r="J108" s="83">
        <f>38403.19-4576.43</f>
        <v>33826.76</v>
      </c>
      <c r="K108" s="84">
        <v>0</v>
      </c>
    </row>
    <row r="109" spans="1:11" ht="12.75" thickTop="1">
      <c r="A109" s="907" t="s">
        <v>246</v>
      </c>
      <c r="B109" s="116" t="s">
        <v>476</v>
      </c>
      <c r="C109" s="95"/>
      <c r="D109" s="120"/>
      <c r="E109" s="69"/>
      <c r="F109" s="69"/>
      <c r="G109" s="69"/>
      <c r="H109" s="69"/>
      <c r="I109" s="69"/>
      <c r="J109" s="69"/>
      <c r="K109" s="70"/>
    </row>
    <row r="110" spans="1:11" ht="12">
      <c r="A110" s="908"/>
      <c r="B110" s="117" t="s">
        <v>516</v>
      </c>
      <c r="C110" s="89"/>
      <c r="D110" s="123"/>
      <c r="E110" s="74"/>
      <c r="F110" s="74"/>
      <c r="G110" s="74"/>
      <c r="H110" s="74"/>
      <c r="I110" s="74"/>
      <c r="J110" s="74"/>
      <c r="K110" s="75"/>
    </row>
    <row r="111" spans="1:11" ht="12">
      <c r="A111" s="908"/>
      <c r="B111" s="117" t="s">
        <v>517</v>
      </c>
      <c r="C111" s="89"/>
      <c r="D111" s="123"/>
      <c r="E111" s="74"/>
      <c r="F111" s="74"/>
      <c r="G111" s="74"/>
      <c r="H111" s="74"/>
      <c r="I111" s="74"/>
      <c r="J111" s="74"/>
      <c r="K111" s="75"/>
    </row>
    <row r="112" spans="1:11" ht="22.5">
      <c r="A112" s="908"/>
      <c r="B112" s="93" t="s">
        <v>656</v>
      </c>
      <c r="C112" s="105" t="s">
        <v>418</v>
      </c>
      <c r="D112" s="257" t="s">
        <v>527</v>
      </c>
      <c r="E112" s="74"/>
      <c r="F112" s="74"/>
      <c r="G112" s="74"/>
      <c r="H112" s="74"/>
      <c r="I112" s="74"/>
      <c r="J112" s="74"/>
      <c r="K112" s="75"/>
    </row>
    <row r="113" spans="1:11" ht="12.75">
      <c r="A113" s="908"/>
      <c r="B113" s="107" t="s">
        <v>647</v>
      </c>
      <c r="C113" s="89"/>
      <c r="D113" s="123"/>
      <c r="E113" s="77">
        <f>SUM(F113:K113)</f>
        <v>262563</v>
      </c>
      <c r="F113" s="77">
        <v>0</v>
      </c>
      <c r="G113" s="77">
        <v>0</v>
      </c>
      <c r="H113" s="77">
        <v>0</v>
      </c>
      <c r="I113" s="77">
        <v>39384</v>
      </c>
      <c r="J113" s="77">
        <v>223179</v>
      </c>
      <c r="K113" s="78">
        <v>0</v>
      </c>
    </row>
    <row r="114" spans="1:11" ht="13.5" thickBot="1">
      <c r="A114" s="909"/>
      <c r="B114" s="109" t="s">
        <v>648</v>
      </c>
      <c r="C114" s="91"/>
      <c r="D114" s="262"/>
      <c r="E114" s="81">
        <f>SUM(F114:K114)</f>
        <v>157386.01</v>
      </c>
      <c r="F114" s="83">
        <v>0</v>
      </c>
      <c r="G114" s="83">
        <v>0</v>
      </c>
      <c r="H114" s="83">
        <v>0</v>
      </c>
      <c r="I114" s="83">
        <v>30615.86</v>
      </c>
      <c r="J114" s="83">
        <v>126770.15</v>
      </c>
      <c r="K114" s="84">
        <v>0</v>
      </c>
    </row>
    <row r="115" spans="1:11" ht="34.5" thickTop="1">
      <c r="A115" s="914" t="s">
        <v>247</v>
      </c>
      <c r="B115" s="761" t="s">
        <v>519</v>
      </c>
      <c r="C115" s="762"/>
      <c r="D115" s="762"/>
      <c r="E115" s="289"/>
      <c r="F115" s="763"/>
      <c r="G115" s="763"/>
      <c r="H115" s="763"/>
      <c r="I115" s="763"/>
      <c r="J115" s="763"/>
      <c r="K115" s="764"/>
    </row>
    <row r="116" spans="1:11" ht="22.5">
      <c r="A116" s="915"/>
      <c r="B116" s="72" t="s">
        <v>520</v>
      </c>
      <c r="C116" s="105"/>
      <c r="D116" s="105"/>
      <c r="E116" s="233"/>
      <c r="F116" s="234"/>
      <c r="G116" s="234"/>
      <c r="H116" s="234"/>
      <c r="I116" s="234"/>
      <c r="J116" s="234"/>
      <c r="K116" s="235"/>
    </row>
    <row r="117" spans="1:11" ht="22.5">
      <c r="A117" s="915"/>
      <c r="B117" s="72" t="s">
        <v>521</v>
      </c>
      <c r="C117" s="105"/>
      <c r="D117" s="105"/>
      <c r="E117" s="233"/>
      <c r="F117" s="234"/>
      <c r="G117" s="234"/>
      <c r="H117" s="234"/>
      <c r="I117" s="234"/>
      <c r="J117" s="234"/>
      <c r="K117" s="235"/>
    </row>
    <row r="118" spans="1:11" ht="22.5">
      <c r="A118" s="915"/>
      <c r="B118" s="72" t="s">
        <v>655</v>
      </c>
      <c r="C118" s="105" t="s">
        <v>418</v>
      </c>
      <c r="D118" s="241" t="s">
        <v>592</v>
      </c>
      <c r="E118" s="233"/>
      <c r="F118" s="234"/>
      <c r="G118" s="234"/>
      <c r="H118" s="234"/>
      <c r="I118" s="234"/>
      <c r="J118" s="234"/>
      <c r="K118" s="235"/>
    </row>
    <row r="119" spans="1:11" ht="12.75">
      <c r="A119" s="915"/>
      <c r="B119" s="107" t="s">
        <v>608</v>
      </c>
      <c r="C119" s="237"/>
      <c r="D119" s="237"/>
      <c r="E119" s="77">
        <f>SUM(F119:K119)</f>
        <v>0</v>
      </c>
      <c r="F119" s="233">
        <v>0</v>
      </c>
      <c r="G119" s="233">
        <v>0</v>
      </c>
      <c r="H119" s="233">
        <v>0</v>
      </c>
      <c r="I119" s="233">
        <v>0</v>
      </c>
      <c r="J119" s="233">
        <v>0</v>
      </c>
      <c r="K119" s="290">
        <v>0</v>
      </c>
    </row>
    <row r="120" spans="1:11" ht="13.5" thickBot="1">
      <c r="A120" s="916"/>
      <c r="B120" s="109" t="s">
        <v>609</v>
      </c>
      <c r="C120" s="765"/>
      <c r="D120" s="765"/>
      <c r="E120" s="81">
        <f>SUM(F120:K120)</f>
        <v>4603.42</v>
      </c>
      <c r="F120" s="766">
        <v>0</v>
      </c>
      <c r="G120" s="766">
        <v>0</v>
      </c>
      <c r="H120" s="766">
        <v>0</v>
      </c>
      <c r="I120" s="766">
        <v>4603.42</v>
      </c>
      <c r="J120" s="766">
        <v>0</v>
      </c>
      <c r="K120" s="767">
        <v>0</v>
      </c>
    </row>
    <row r="121" spans="1:11" ht="12.75" hidden="1" thickTop="1">
      <c r="A121" s="901" t="s">
        <v>444</v>
      </c>
      <c r="B121" s="67" t="s">
        <v>476</v>
      </c>
      <c r="C121" s="68"/>
      <c r="D121" s="68"/>
      <c r="E121" s="69"/>
      <c r="F121" s="111"/>
      <c r="G121" s="111"/>
      <c r="H121" s="111"/>
      <c r="I121" s="111"/>
      <c r="J121" s="111"/>
      <c r="K121" s="112"/>
    </row>
    <row r="122" spans="1:11" ht="12" hidden="1">
      <c r="A122" s="902"/>
      <c r="B122" s="72" t="s">
        <v>477</v>
      </c>
      <c r="C122" s="912" t="s">
        <v>431</v>
      </c>
      <c r="D122" s="912"/>
      <c r="E122" s="74"/>
      <c r="F122" s="74"/>
      <c r="G122" s="74"/>
      <c r="H122" s="74"/>
      <c r="I122" s="74"/>
      <c r="J122" s="74"/>
      <c r="K122" s="75"/>
    </row>
    <row r="123" spans="1:11" ht="22.5" hidden="1">
      <c r="A123" s="902"/>
      <c r="B123" s="72" t="s">
        <v>450</v>
      </c>
      <c r="C123" s="73"/>
      <c r="D123" s="73"/>
      <c r="E123" s="74"/>
      <c r="F123" s="74"/>
      <c r="G123" s="74"/>
      <c r="H123" s="74"/>
      <c r="I123" s="74"/>
      <c r="J123" s="74"/>
      <c r="K123" s="75"/>
    </row>
    <row r="124" spans="1:11" ht="22.5" hidden="1">
      <c r="A124" s="902"/>
      <c r="B124" s="72" t="s">
        <v>465</v>
      </c>
      <c r="C124" s="224" t="s">
        <v>478</v>
      </c>
      <c r="D124" s="257" t="s">
        <v>479</v>
      </c>
      <c r="E124" s="74"/>
      <c r="F124" s="74"/>
      <c r="G124" s="74"/>
      <c r="H124" s="74"/>
      <c r="I124" s="74"/>
      <c r="J124" s="74"/>
      <c r="K124" s="75"/>
    </row>
    <row r="125" spans="1:11" ht="12.75" hidden="1">
      <c r="A125" s="902"/>
      <c r="B125" s="107" t="s">
        <v>583</v>
      </c>
      <c r="C125" s="86"/>
      <c r="D125" s="261"/>
      <c r="E125" s="77">
        <f>J125</f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78">
        <v>0</v>
      </c>
    </row>
    <row r="126" spans="1:11" ht="13.5" hidden="1" thickBot="1">
      <c r="A126" s="903"/>
      <c r="B126" s="109" t="s">
        <v>584</v>
      </c>
      <c r="C126" s="82"/>
      <c r="D126" s="259"/>
      <c r="E126" s="77">
        <f>J126</f>
        <v>0</v>
      </c>
      <c r="F126" s="83">
        <v>0</v>
      </c>
      <c r="G126" s="83">
        <v>0</v>
      </c>
      <c r="H126" s="83">
        <v>0</v>
      </c>
      <c r="I126" s="83">
        <v>0</v>
      </c>
      <c r="J126" s="83"/>
      <c r="K126" s="84">
        <v>0</v>
      </c>
    </row>
    <row r="127" spans="1:11" ht="12.75" thickTop="1">
      <c r="A127" s="907" t="s">
        <v>248</v>
      </c>
      <c r="B127" s="67" t="s">
        <v>476</v>
      </c>
      <c r="C127" s="68"/>
      <c r="D127" s="250"/>
      <c r="E127" s="69"/>
      <c r="F127" s="69"/>
      <c r="G127" s="69"/>
      <c r="H127" s="69"/>
      <c r="I127" s="69"/>
      <c r="J127" s="69"/>
      <c r="K127" s="70"/>
    </row>
    <row r="128" spans="1:11" ht="12">
      <c r="A128" s="908"/>
      <c r="B128" s="72" t="s">
        <v>480</v>
      </c>
      <c r="C128" s="227"/>
      <c r="D128" s="263"/>
      <c r="E128" s="74"/>
      <c r="F128" s="74"/>
      <c r="G128" s="74"/>
      <c r="H128" s="74"/>
      <c r="I128" s="74"/>
      <c r="J128" s="74"/>
      <c r="K128" s="75"/>
    </row>
    <row r="129" spans="1:11" ht="28.5" customHeight="1">
      <c r="A129" s="908"/>
      <c r="B129" s="72" t="s">
        <v>481</v>
      </c>
      <c r="C129" s="225"/>
      <c r="D129" s="251"/>
      <c r="E129" s="74"/>
      <c r="F129" s="74"/>
      <c r="G129" s="74"/>
      <c r="H129" s="74"/>
      <c r="I129" s="74"/>
      <c r="J129" s="74"/>
      <c r="K129" s="75"/>
    </row>
    <row r="130" spans="1:11" ht="24" customHeight="1">
      <c r="A130" s="908"/>
      <c r="B130" s="72" t="s">
        <v>654</v>
      </c>
      <c r="C130" s="224" t="s">
        <v>478</v>
      </c>
      <c r="D130" s="257" t="s">
        <v>479</v>
      </c>
      <c r="E130" s="74"/>
      <c r="F130" s="74"/>
      <c r="G130" s="74"/>
      <c r="H130" s="74"/>
      <c r="I130" s="74"/>
      <c r="J130" s="74"/>
      <c r="K130" s="75"/>
    </row>
    <row r="131" spans="1:11" ht="12.75">
      <c r="A131" s="908"/>
      <c r="B131" s="107" t="s">
        <v>647</v>
      </c>
      <c r="C131" s="79"/>
      <c r="D131" s="255"/>
      <c r="E131" s="77">
        <f>SUM(F131:K131)</f>
        <v>137636</v>
      </c>
      <c r="F131" s="226">
        <v>0</v>
      </c>
      <c r="G131" s="77">
        <v>0</v>
      </c>
      <c r="H131" s="77">
        <v>0</v>
      </c>
      <c r="I131" s="226">
        <v>22264</v>
      </c>
      <c r="J131" s="77">
        <v>115372</v>
      </c>
      <c r="K131" s="78">
        <v>0</v>
      </c>
    </row>
    <row r="132" spans="1:11" ht="13.5" thickBot="1">
      <c r="A132" s="909"/>
      <c r="B132" s="109" t="s">
        <v>648</v>
      </c>
      <c r="C132" s="91"/>
      <c r="D132" s="262"/>
      <c r="E132" s="77">
        <f>SUM(F132:K132)</f>
        <v>80303.65000000001</v>
      </c>
      <c r="F132" s="136">
        <v>0</v>
      </c>
      <c r="G132" s="83">
        <v>0</v>
      </c>
      <c r="H132" s="83">
        <v>0</v>
      </c>
      <c r="I132" s="136">
        <f>750+1512.85+2550.75+2160.49+2113.65+10314.9+621.43-9878.3+26.7+119.24+6.43+128.56+3236.9</f>
        <v>13663.6</v>
      </c>
      <c r="J132" s="83">
        <f>4250+8572.81+14454.25+12242.76+11977.35+58451.1+3521.42-45184.7+151.3+675.72+36.42+728.52-3236.9</f>
        <v>66640.05</v>
      </c>
      <c r="K132" s="84">
        <v>0</v>
      </c>
    </row>
    <row r="133" spans="1:11" ht="12.75" thickTop="1">
      <c r="A133" s="907" t="s">
        <v>249</v>
      </c>
      <c r="B133" s="67" t="s">
        <v>476</v>
      </c>
      <c r="C133" s="68"/>
      <c r="D133" s="250"/>
      <c r="E133" s="69"/>
      <c r="F133" s="69"/>
      <c r="G133" s="69"/>
      <c r="H133" s="69"/>
      <c r="I133" s="69"/>
      <c r="J133" s="69"/>
      <c r="K133" s="70"/>
    </row>
    <row r="134" spans="1:11" ht="12">
      <c r="A134" s="908"/>
      <c r="B134" s="72" t="s">
        <v>480</v>
      </c>
      <c r="C134" s="227"/>
      <c r="D134" s="263"/>
      <c r="E134" s="74"/>
      <c r="F134" s="74"/>
      <c r="G134" s="74"/>
      <c r="H134" s="74"/>
      <c r="I134" s="74"/>
      <c r="J134" s="74"/>
      <c r="K134" s="75"/>
    </row>
    <row r="135" spans="1:11" ht="30" customHeight="1">
      <c r="A135" s="908"/>
      <c r="B135" s="72" t="s">
        <v>481</v>
      </c>
      <c r="C135" s="225"/>
      <c r="D135" s="251"/>
      <c r="E135" s="74"/>
      <c r="F135" s="74"/>
      <c r="G135" s="74"/>
      <c r="H135" s="74"/>
      <c r="I135" s="74"/>
      <c r="J135" s="74"/>
      <c r="K135" s="75"/>
    </row>
    <row r="136" spans="1:11" ht="27.75" customHeight="1">
      <c r="A136" s="908"/>
      <c r="B136" s="72" t="s">
        <v>654</v>
      </c>
      <c r="C136" s="224" t="s">
        <v>484</v>
      </c>
      <c r="D136" s="257" t="s">
        <v>483</v>
      </c>
      <c r="E136" s="74"/>
      <c r="F136" s="74"/>
      <c r="G136" s="74"/>
      <c r="H136" s="74"/>
      <c r="I136" s="74"/>
      <c r="J136" s="74"/>
      <c r="K136" s="75"/>
    </row>
    <row r="137" spans="1:11" ht="12.75">
      <c r="A137" s="908"/>
      <c r="B137" s="107" t="s">
        <v>647</v>
      </c>
      <c r="C137" s="79"/>
      <c r="D137" s="255"/>
      <c r="E137" s="77">
        <f>SUM(F137:K137)</f>
        <v>93319</v>
      </c>
      <c r="F137" s="226">
        <v>0</v>
      </c>
      <c r="G137" s="77">
        <v>0</v>
      </c>
      <c r="H137" s="77">
        <v>0</v>
      </c>
      <c r="I137" s="226">
        <v>0</v>
      </c>
      <c r="J137" s="77">
        <v>93319</v>
      </c>
      <c r="K137" s="78">
        <v>0</v>
      </c>
    </row>
    <row r="138" spans="1:11" ht="13.5" thickBot="1">
      <c r="A138" s="909"/>
      <c r="B138" s="109" t="s">
        <v>648</v>
      </c>
      <c r="C138" s="91"/>
      <c r="D138" s="262"/>
      <c r="E138" s="81">
        <f>SUM(F138:K138)</f>
        <v>81726.51</v>
      </c>
      <c r="F138" s="136">
        <v>0</v>
      </c>
      <c r="G138" s="83">
        <v>0</v>
      </c>
      <c r="H138" s="83">
        <v>0</v>
      </c>
      <c r="I138" s="136">
        <v>0</v>
      </c>
      <c r="J138" s="83">
        <v>81726.51</v>
      </c>
      <c r="K138" s="84">
        <v>0</v>
      </c>
    </row>
    <row r="139" spans="1:11" ht="12.75" thickTop="1">
      <c r="A139" s="901" t="s">
        <v>250</v>
      </c>
      <c r="B139" s="87" t="s">
        <v>476</v>
      </c>
      <c r="C139" s="68"/>
      <c r="D139" s="250"/>
      <c r="E139" s="69"/>
      <c r="F139" s="69"/>
      <c r="G139" s="69"/>
      <c r="H139" s="69"/>
      <c r="I139" s="69"/>
      <c r="J139" s="69"/>
      <c r="K139" s="70"/>
    </row>
    <row r="140" spans="1:11" ht="12">
      <c r="A140" s="902"/>
      <c r="B140" s="72" t="s">
        <v>548</v>
      </c>
      <c r="C140" s="105"/>
      <c r="D140" s="257"/>
      <c r="E140" s="74"/>
      <c r="F140" s="74"/>
      <c r="G140" s="74"/>
      <c r="H140" s="74"/>
      <c r="I140" s="74"/>
      <c r="J140" s="74"/>
      <c r="K140" s="75"/>
    </row>
    <row r="141" spans="1:11" ht="27.75" customHeight="1">
      <c r="A141" s="902"/>
      <c r="B141" s="72" t="s">
        <v>547</v>
      </c>
      <c r="C141" s="88"/>
      <c r="D141" s="263"/>
      <c r="E141" s="74"/>
      <c r="F141" s="74"/>
      <c r="G141" s="74"/>
      <c r="H141" s="74"/>
      <c r="I141" s="74"/>
      <c r="J141" s="74"/>
      <c r="K141" s="75"/>
    </row>
    <row r="142" spans="1:11" ht="39.75" customHeight="1">
      <c r="A142" s="902"/>
      <c r="B142" s="72" t="s">
        <v>546</v>
      </c>
      <c r="C142" s="105" t="s">
        <v>484</v>
      </c>
      <c r="D142" s="252" t="s">
        <v>483</v>
      </c>
      <c r="E142" s="74"/>
      <c r="F142" s="74"/>
      <c r="G142" s="74"/>
      <c r="H142" s="74"/>
      <c r="I142" s="74"/>
      <c r="J142" s="74"/>
      <c r="K142" s="75"/>
    </row>
    <row r="143" spans="1:11" ht="12.75">
      <c r="A143" s="902"/>
      <c r="B143" s="107" t="s">
        <v>647</v>
      </c>
      <c r="C143" s="79"/>
      <c r="D143" s="255"/>
      <c r="E143" s="77">
        <f>SUM(F143:K143)</f>
        <v>487096</v>
      </c>
      <c r="F143" s="77">
        <v>0</v>
      </c>
      <c r="G143" s="77">
        <v>0</v>
      </c>
      <c r="H143" s="77">
        <v>0</v>
      </c>
      <c r="I143" s="77">
        <v>74732</v>
      </c>
      <c r="J143" s="77">
        <v>412364</v>
      </c>
      <c r="K143" s="78">
        <v>0</v>
      </c>
    </row>
    <row r="144" spans="1:11" ht="13.5" thickBot="1">
      <c r="A144" s="903"/>
      <c r="B144" s="109" t="s">
        <v>648</v>
      </c>
      <c r="C144" s="80"/>
      <c r="D144" s="256"/>
      <c r="E144" s="81">
        <f>SUM(F144:K144)</f>
        <v>285613.44000000006</v>
      </c>
      <c r="F144" s="83">
        <v>0</v>
      </c>
      <c r="G144" s="83">
        <v>0</v>
      </c>
      <c r="H144" s="83">
        <v>0</v>
      </c>
      <c r="I144" s="83">
        <f>1962.48+12620.67+60142.22-30215.25</f>
        <v>44510.119999999995</v>
      </c>
      <c r="J144" s="83">
        <f>71517.14+340805.89-171219.71</f>
        <v>241103.32000000004</v>
      </c>
      <c r="K144" s="84">
        <v>0</v>
      </c>
    </row>
    <row r="145" spans="1:11" ht="12.75" hidden="1" thickTop="1">
      <c r="A145" s="907" t="s">
        <v>514</v>
      </c>
      <c r="B145" s="116" t="s">
        <v>476</v>
      </c>
      <c r="C145" s="95"/>
      <c r="D145" s="120"/>
      <c r="E145" s="69"/>
      <c r="F145" s="69"/>
      <c r="G145" s="69"/>
      <c r="H145" s="69"/>
      <c r="I145" s="69"/>
      <c r="J145" s="69"/>
      <c r="K145" s="70"/>
    </row>
    <row r="146" spans="1:11" ht="12" hidden="1">
      <c r="A146" s="908"/>
      <c r="B146" s="117" t="s">
        <v>432</v>
      </c>
      <c r="C146" s="89"/>
      <c r="D146" s="123"/>
      <c r="E146" s="74"/>
      <c r="F146" s="74"/>
      <c r="G146" s="74"/>
      <c r="H146" s="74"/>
      <c r="I146" s="74"/>
      <c r="J146" s="74"/>
      <c r="K146" s="75"/>
    </row>
    <row r="147" spans="1:11" ht="12" hidden="1">
      <c r="A147" s="908"/>
      <c r="B147" s="117" t="s">
        <v>436</v>
      </c>
      <c r="C147" s="89"/>
      <c r="D147" s="123"/>
      <c r="E147" s="74"/>
      <c r="F147" s="74"/>
      <c r="G147" s="74"/>
      <c r="H147" s="74"/>
      <c r="I147" s="74"/>
      <c r="J147" s="74"/>
      <c r="K147" s="75"/>
    </row>
    <row r="148" spans="1:11" ht="32.25" hidden="1">
      <c r="A148" s="908"/>
      <c r="B148" s="93" t="s">
        <v>467</v>
      </c>
      <c r="C148" s="118" t="s">
        <v>484</v>
      </c>
      <c r="D148" s="257" t="s">
        <v>483</v>
      </c>
      <c r="E148" s="74"/>
      <c r="F148" s="74"/>
      <c r="G148" s="74"/>
      <c r="H148" s="74"/>
      <c r="I148" s="74"/>
      <c r="J148" s="74"/>
      <c r="K148" s="75"/>
    </row>
    <row r="149" spans="1:11" ht="12.75" hidden="1">
      <c r="A149" s="908"/>
      <c r="B149" s="107" t="s">
        <v>583</v>
      </c>
      <c r="C149" s="89"/>
      <c r="D149" s="123"/>
      <c r="E149" s="77">
        <f>SUM(F149:K149)</f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8">
        <v>0</v>
      </c>
    </row>
    <row r="150" spans="1:11" ht="13.5" hidden="1" thickBot="1">
      <c r="A150" s="909"/>
      <c r="B150" s="109" t="s">
        <v>584</v>
      </c>
      <c r="C150" s="91"/>
      <c r="D150" s="262"/>
      <c r="E150" s="77">
        <f>SUM(F150:K150)</f>
        <v>0</v>
      </c>
      <c r="F150" s="83">
        <f>249.78-249.78</f>
        <v>0</v>
      </c>
      <c r="G150" s="83">
        <v>0</v>
      </c>
      <c r="H150" s="83">
        <v>0</v>
      </c>
      <c r="I150" s="83"/>
      <c r="J150" s="83"/>
      <c r="K150" s="84">
        <v>0</v>
      </c>
    </row>
    <row r="151" spans="1:11" ht="12.75" hidden="1" thickTop="1">
      <c r="A151" s="907" t="s">
        <v>515</v>
      </c>
      <c r="B151" s="67" t="s">
        <v>476</v>
      </c>
      <c r="C151" s="68"/>
      <c r="D151" s="250"/>
      <c r="E151" s="69"/>
      <c r="F151" s="69"/>
      <c r="G151" s="69"/>
      <c r="H151" s="69"/>
      <c r="I151" s="69"/>
      <c r="J151" s="69"/>
      <c r="K151" s="70"/>
    </row>
    <row r="152" spans="1:11" ht="22.5" hidden="1">
      <c r="A152" s="908"/>
      <c r="B152" s="72" t="s">
        <v>485</v>
      </c>
      <c r="C152" s="73"/>
      <c r="D152" s="251"/>
      <c r="E152" s="74"/>
      <c r="F152" s="74"/>
      <c r="G152" s="74"/>
      <c r="H152" s="74"/>
      <c r="I152" s="74"/>
      <c r="J152" s="74"/>
      <c r="K152" s="75"/>
    </row>
    <row r="153" spans="1:11" ht="33.75" hidden="1">
      <c r="A153" s="908"/>
      <c r="B153" s="72" t="s">
        <v>486</v>
      </c>
      <c r="C153" s="119"/>
      <c r="D153" s="105"/>
      <c r="E153" s="74"/>
      <c r="F153" s="74"/>
      <c r="G153" s="74"/>
      <c r="H153" s="74"/>
      <c r="I153" s="74"/>
      <c r="J153" s="74"/>
      <c r="K153" s="75"/>
    </row>
    <row r="154" spans="1:11" ht="32.25" hidden="1">
      <c r="A154" s="908"/>
      <c r="B154" s="72" t="s">
        <v>442</v>
      </c>
      <c r="C154" s="119" t="s">
        <v>418</v>
      </c>
      <c r="D154" s="257" t="s">
        <v>483</v>
      </c>
      <c r="E154" s="74"/>
      <c r="F154" s="74"/>
      <c r="G154" s="74"/>
      <c r="H154" s="74"/>
      <c r="I154" s="74"/>
      <c r="J154" s="74"/>
      <c r="K154" s="75"/>
    </row>
    <row r="155" spans="1:11" ht="12.75" hidden="1">
      <c r="A155" s="908"/>
      <c r="B155" s="107" t="s">
        <v>583</v>
      </c>
      <c r="C155" s="90"/>
      <c r="D155" s="264"/>
      <c r="E155" s="77">
        <f>SUM(F155:K155)</f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8">
        <v>0</v>
      </c>
    </row>
    <row r="156" spans="1:11" ht="13.5" hidden="1" thickBot="1">
      <c r="A156" s="908"/>
      <c r="B156" s="109" t="s">
        <v>584</v>
      </c>
      <c r="C156" s="73"/>
      <c r="D156" s="251"/>
      <c r="E156" s="77">
        <f>SUM(F156:K156)</f>
        <v>0</v>
      </c>
      <c r="F156" s="74">
        <v>0</v>
      </c>
      <c r="G156" s="74">
        <v>0</v>
      </c>
      <c r="H156" s="74">
        <v>0</v>
      </c>
      <c r="I156" s="74"/>
      <c r="J156" s="74"/>
      <c r="K156" s="75">
        <v>0</v>
      </c>
    </row>
    <row r="157" spans="1:11" ht="12.75" hidden="1" thickTop="1">
      <c r="A157" s="907" t="s">
        <v>435</v>
      </c>
      <c r="B157" s="92" t="s">
        <v>487</v>
      </c>
      <c r="C157" s="120"/>
      <c r="D157" s="120"/>
      <c r="E157" s="121"/>
      <c r="F157" s="121"/>
      <c r="G157" s="121"/>
      <c r="H157" s="121"/>
      <c r="I157" s="121"/>
      <c r="J157" s="121"/>
      <c r="K157" s="122"/>
    </row>
    <row r="158" spans="1:11" ht="22.5" hidden="1">
      <c r="A158" s="908"/>
      <c r="B158" s="93" t="s">
        <v>445</v>
      </c>
      <c r="C158" s="123"/>
      <c r="D158" s="123"/>
      <c r="E158" s="124"/>
      <c r="F158" s="124"/>
      <c r="G158" s="124"/>
      <c r="H158" s="124"/>
      <c r="I158" s="124"/>
      <c r="J158" s="124"/>
      <c r="K158" s="125"/>
    </row>
    <row r="159" spans="1:11" ht="22.5" hidden="1">
      <c r="A159" s="908"/>
      <c r="B159" s="93" t="s">
        <v>446</v>
      </c>
      <c r="C159" s="105"/>
      <c r="D159" s="123"/>
      <c r="E159" s="124"/>
      <c r="F159" s="124"/>
      <c r="G159" s="124"/>
      <c r="H159" s="124"/>
      <c r="I159" s="124"/>
      <c r="J159" s="124"/>
      <c r="K159" s="125"/>
    </row>
    <row r="160" spans="1:11" ht="22.5" hidden="1">
      <c r="A160" s="908"/>
      <c r="B160" s="93" t="s">
        <v>498</v>
      </c>
      <c r="C160" s="119" t="s">
        <v>418</v>
      </c>
      <c r="D160" s="257" t="s">
        <v>483</v>
      </c>
      <c r="E160" s="124"/>
      <c r="F160" s="124"/>
      <c r="G160" s="124"/>
      <c r="H160" s="124"/>
      <c r="I160" s="124"/>
      <c r="J160" s="124"/>
      <c r="K160" s="125"/>
    </row>
    <row r="161" spans="1:11" ht="12.75" hidden="1">
      <c r="A161" s="908"/>
      <c r="B161" s="107" t="s">
        <v>608</v>
      </c>
      <c r="C161" s="127"/>
      <c r="D161" s="128"/>
      <c r="E161" s="129">
        <f>SUM(F161:K161)</f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126">
        <v>0</v>
      </c>
    </row>
    <row r="162" spans="1:11" ht="13.5" hidden="1" thickBot="1">
      <c r="A162" s="909"/>
      <c r="B162" s="109" t="s">
        <v>609</v>
      </c>
      <c r="C162" s="130"/>
      <c r="D162" s="131"/>
      <c r="E162" s="148">
        <f>SUM(F162:K162)</f>
        <v>0</v>
      </c>
      <c r="F162" s="132"/>
      <c r="G162" s="132"/>
      <c r="H162" s="132">
        <v>0</v>
      </c>
      <c r="I162" s="132"/>
      <c r="J162" s="132"/>
      <c r="K162" s="133">
        <v>0</v>
      </c>
    </row>
    <row r="163" spans="1:11" ht="23.25" hidden="1" thickTop="1">
      <c r="A163" s="907" t="s">
        <v>437</v>
      </c>
      <c r="B163" s="67" t="s">
        <v>422</v>
      </c>
      <c r="C163" s="95"/>
      <c r="D163" s="120"/>
      <c r="E163" s="69"/>
      <c r="F163" s="69"/>
      <c r="G163" s="69"/>
      <c r="H163" s="69"/>
      <c r="I163" s="69"/>
      <c r="J163" s="69"/>
      <c r="K163" s="70"/>
    </row>
    <row r="164" spans="1:11" ht="12" hidden="1">
      <c r="A164" s="908"/>
      <c r="B164" s="72" t="s">
        <v>429</v>
      </c>
      <c r="C164" s="89"/>
      <c r="D164" s="123"/>
      <c r="E164" s="74"/>
      <c r="F164" s="74"/>
      <c r="G164" s="74"/>
      <c r="H164" s="74"/>
      <c r="I164" s="74"/>
      <c r="J164" s="74"/>
      <c r="K164" s="75"/>
    </row>
    <row r="165" spans="1:11" ht="12" hidden="1">
      <c r="A165" s="908"/>
      <c r="B165" s="72" t="s">
        <v>430</v>
      </c>
      <c r="C165" s="89"/>
      <c r="D165" s="123"/>
      <c r="E165" s="74"/>
      <c r="F165" s="74"/>
      <c r="G165" s="74"/>
      <c r="H165" s="74"/>
      <c r="I165" s="74"/>
      <c r="J165" s="74"/>
      <c r="K165" s="75"/>
    </row>
    <row r="166" spans="1:11" ht="32.25" hidden="1">
      <c r="A166" s="908"/>
      <c r="B166" s="93" t="s">
        <v>499</v>
      </c>
      <c r="C166" s="119" t="s">
        <v>418</v>
      </c>
      <c r="D166" s="257" t="s">
        <v>483</v>
      </c>
      <c r="E166" s="74"/>
      <c r="F166" s="74"/>
      <c r="G166" s="74"/>
      <c r="H166" s="74"/>
      <c r="I166" s="74"/>
      <c r="J166" s="74"/>
      <c r="K166" s="75"/>
    </row>
    <row r="167" spans="1:11" ht="12.75" hidden="1">
      <c r="A167" s="908"/>
      <c r="B167" s="107" t="s">
        <v>608</v>
      </c>
      <c r="C167" s="89"/>
      <c r="D167" s="123"/>
      <c r="E167" s="77">
        <f>SUM(F167:K167)</f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8">
        <v>0</v>
      </c>
    </row>
    <row r="168" spans="1:11" ht="13.5" hidden="1" thickBot="1">
      <c r="A168" s="909"/>
      <c r="B168" s="109" t="s">
        <v>609</v>
      </c>
      <c r="C168" s="94"/>
      <c r="D168" s="258"/>
      <c r="E168" s="246">
        <f>SUM(F168:K168)</f>
        <v>0</v>
      </c>
      <c r="F168" s="83">
        <v>0</v>
      </c>
      <c r="G168" s="83">
        <v>0</v>
      </c>
      <c r="H168" s="83">
        <v>0</v>
      </c>
      <c r="I168" s="83"/>
      <c r="J168" s="83"/>
      <c r="K168" s="84">
        <v>0</v>
      </c>
    </row>
    <row r="169" spans="1:11" ht="23.25" thickTop="1">
      <c r="A169" s="918" t="s">
        <v>385</v>
      </c>
      <c r="B169" s="239" t="s">
        <v>422</v>
      </c>
      <c r="C169" s="242"/>
      <c r="D169" s="265"/>
      <c r="E169" s="247"/>
      <c r="F169" s="244"/>
      <c r="G169" s="244"/>
      <c r="H169" s="244"/>
      <c r="I169" s="244"/>
      <c r="J169" s="244"/>
      <c r="K169" s="245"/>
    </row>
    <row r="170" spans="1:11" ht="12">
      <c r="A170" s="919"/>
      <c r="B170" s="72" t="s">
        <v>429</v>
      </c>
      <c r="C170" s="89"/>
      <c r="D170" s="123"/>
      <c r="E170" s="77"/>
      <c r="F170" s="74"/>
      <c r="G170" s="74"/>
      <c r="H170" s="74"/>
      <c r="I170" s="74"/>
      <c r="J170" s="74"/>
      <c r="K170" s="75"/>
    </row>
    <row r="171" spans="1:11" ht="12">
      <c r="A171" s="919"/>
      <c r="B171" s="72" t="s">
        <v>430</v>
      </c>
      <c r="C171" s="89"/>
      <c r="D171" s="123"/>
      <c r="E171" s="77"/>
      <c r="F171" s="74"/>
      <c r="G171" s="74"/>
      <c r="H171" s="74"/>
      <c r="I171" s="74"/>
      <c r="J171" s="74"/>
      <c r="K171" s="75"/>
    </row>
    <row r="172" spans="1:11" ht="22.5" customHeight="1">
      <c r="A172" s="919"/>
      <c r="B172" s="248" t="s">
        <v>653</v>
      </c>
      <c r="C172" s="249" t="s">
        <v>418</v>
      </c>
      <c r="D172" s="266" t="s">
        <v>483</v>
      </c>
      <c r="E172" s="77"/>
      <c r="F172" s="74"/>
      <c r="G172" s="74"/>
      <c r="H172" s="74"/>
      <c r="I172" s="74"/>
      <c r="J172" s="74"/>
      <c r="K172" s="75"/>
    </row>
    <row r="173" spans="1:11" ht="12.75">
      <c r="A173" s="919"/>
      <c r="B173" s="107" t="s">
        <v>647</v>
      </c>
      <c r="C173" s="89"/>
      <c r="D173" s="123"/>
      <c r="E173" s="77">
        <f>SUM(F173:K173)</f>
        <v>0</v>
      </c>
      <c r="F173" s="77">
        <v>0</v>
      </c>
      <c r="G173" s="77">
        <v>0</v>
      </c>
      <c r="H173" s="77">
        <v>0</v>
      </c>
      <c r="I173" s="77">
        <v>0</v>
      </c>
      <c r="J173" s="77">
        <v>0</v>
      </c>
      <c r="K173" s="78">
        <v>0</v>
      </c>
    </row>
    <row r="174" spans="1:11" ht="13.5" thickBot="1">
      <c r="A174" s="920"/>
      <c r="B174" s="109" t="s">
        <v>648</v>
      </c>
      <c r="C174" s="242"/>
      <c r="D174" s="265"/>
      <c r="E174" s="243">
        <f>SUM(F174:K174)</f>
        <v>4007.66</v>
      </c>
      <c r="F174" s="244">
        <v>0</v>
      </c>
      <c r="G174" s="244">
        <v>0</v>
      </c>
      <c r="H174" s="244">
        <v>0</v>
      </c>
      <c r="I174" s="244">
        <v>4007.66</v>
      </c>
      <c r="J174" s="244">
        <v>0</v>
      </c>
      <c r="K174" s="245">
        <v>0</v>
      </c>
    </row>
    <row r="175" spans="1:11" ht="12.75" thickTop="1">
      <c r="A175" s="901" t="s">
        <v>433</v>
      </c>
      <c r="B175" s="67" t="s">
        <v>532</v>
      </c>
      <c r="C175" s="68"/>
      <c r="D175" s="250"/>
      <c r="E175" s="69"/>
      <c r="F175" s="69"/>
      <c r="G175" s="69"/>
      <c r="H175" s="69"/>
      <c r="I175" s="69"/>
      <c r="J175" s="69"/>
      <c r="K175" s="70"/>
    </row>
    <row r="176" spans="1:11" ht="22.5">
      <c r="A176" s="902"/>
      <c r="B176" s="72" t="s">
        <v>533</v>
      </c>
      <c r="C176" s="73"/>
      <c r="D176" s="251"/>
      <c r="E176" s="74"/>
      <c r="F176" s="74"/>
      <c r="G176" s="74"/>
      <c r="H176" s="74"/>
      <c r="I176" s="74"/>
      <c r="J176" s="74"/>
      <c r="K176" s="75"/>
    </row>
    <row r="177" spans="1:11" ht="12">
      <c r="A177" s="902"/>
      <c r="B177" s="72" t="s">
        <v>534</v>
      </c>
      <c r="C177" s="73"/>
      <c r="D177" s="252"/>
      <c r="E177" s="74"/>
      <c r="F177" s="74"/>
      <c r="G177" s="74"/>
      <c r="H177" s="74"/>
      <c r="I177" s="74"/>
      <c r="J177" s="74"/>
      <c r="K177" s="75"/>
    </row>
    <row r="178" spans="1:11" ht="22.5">
      <c r="A178" s="902"/>
      <c r="B178" s="72" t="s">
        <v>535</v>
      </c>
      <c r="C178" s="224" t="s">
        <v>531</v>
      </c>
      <c r="D178" s="241" t="s">
        <v>530</v>
      </c>
      <c r="E178" s="74"/>
      <c r="F178" s="74"/>
      <c r="G178" s="74"/>
      <c r="H178" s="74"/>
      <c r="I178" s="74"/>
      <c r="J178" s="74"/>
      <c r="K178" s="75"/>
    </row>
    <row r="179" spans="1:11" ht="12.75">
      <c r="A179" s="902"/>
      <c r="B179" s="107" t="s">
        <v>647</v>
      </c>
      <c r="C179" s="79"/>
      <c r="D179" s="255"/>
      <c r="E179" s="77">
        <f>SUM(F179:K179)</f>
        <v>16800</v>
      </c>
      <c r="F179" s="77">
        <v>0</v>
      </c>
      <c r="G179" s="77">
        <v>0</v>
      </c>
      <c r="H179" s="77">
        <v>0</v>
      </c>
      <c r="I179" s="77">
        <v>0</v>
      </c>
      <c r="J179" s="77">
        <v>16800</v>
      </c>
      <c r="K179" s="78">
        <v>0</v>
      </c>
    </row>
    <row r="180" spans="1:11" ht="13.5" thickBot="1">
      <c r="A180" s="903"/>
      <c r="B180" s="109" t="s">
        <v>648</v>
      </c>
      <c r="C180" s="80"/>
      <c r="D180" s="256"/>
      <c r="E180" s="81">
        <f>SUM(F180:K180)</f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4">
        <v>0</v>
      </c>
    </row>
    <row r="181" spans="1:11" ht="23.25" hidden="1" thickTop="1">
      <c r="A181" s="907" t="s">
        <v>437</v>
      </c>
      <c r="B181" s="67" t="s">
        <v>422</v>
      </c>
      <c r="C181" s="95"/>
      <c r="D181" s="120"/>
      <c r="E181" s="111"/>
      <c r="F181" s="111"/>
      <c r="G181" s="111"/>
      <c r="H181" s="111"/>
      <c r="I181" s="111"/>
      <c r="J181" s="111"/>
      <c r="K181" s="112"/>
    </row>
    <row r="182" spans="1:11" ht="12" hidden="1">
      <c r="A182" s="908"/>
      <c r="B182" s="72" t="s">
        <v>429</v>
      </c>
      <c r="C182" s="89"/>
      <c r="D182" s="123"/>
      <c r="E182" s="113"/>
      <c r="F182" s="113"/>
      <c r="G182" s="113"/>
      <c r="H182" s="113"/>
      <c r="I182" s="113"/>
      <c r="J182" s="113"/>
      <c r="K182" s="114"/>
    </row>
    <row r="183" spans="1:11" ht="12" hidden="1">
      <c r="A183" s="908"/>
      <c r="B183" s="72" t="s">
        <v>430</v>
      </c>
      <c r="C183" s="89"/>
      <c r="D183" s="123"/>
      <c r="E183" s="113"/>
      <c r="F183" s="113"/>
      <c r="G183" s="113"/>
      <c r="H183" s="113"/>
      <c r="I183" s="113"/>
      <c r="J183" s="113"/>
      <c r="K183" s="114"/>
    </row>
    <row r="184" spans="1:11" ht="22.5" hidden="1">
      <c r="A184" s="908"/>
      <c r="B184" s="93" t="s">
        <v>650</v>
      </c>
      <c r="C184" s="105" t="s">
        <v>418</v>
      </c>
      <c r="D184" s="257" t="s">
        <v>497</v>
      </c>
      <c r="E184" s="115"/>
      <c r="F184" s="115"/>
      <c r="G184" s="113"/>
      <c r="H184" s="113"/>
      <c r="I184" s="115"/>
      <c r="J184" s="113"/>
      <c r="K184" s="114"/>
    </row>
    <row r="185" spans="1:11" ht="12.75" hidden="1">
      <c r="A185" s="908"/>
      <c r="B185" s="107" t="s">
        <v>647</v>
      </c>
      <c r="C185" s="79"/>
      <c r="D185" s="255"/>
      <c r="E185" s="77">
        <f>SUM(F185:K185)</f>
        <v>0</v>
      </c>
      <c r="F185" s="77">
        <v>0</v>
      </c>
      <c r="G185" s="77">
        <v>0</v>
      </c>
      <c r="H185" s="77">
        <v>0</v>
      </c>
      <c r="I185" s="77">
        <v>0</v>
      </c>
      <c r="J185" s="77">
        <v>0</v>
      </c>
      <c r="K185" s="78">
        <v>0</v>
      </c>
    </row>
    <row r="186" spans="1:11" ht="13.5" hidden="1" thickBot="1">
      <c r="A186" s="909"/>
      <c r="B186" s="109" t="s">
        <v>648</v>
      </c>
      <c r="C186" s="80"/>
      <c r="D186" s="256"/>
      <c r="E186" s="77">
        <f>SUM(F186:K186)</f>
        <v>0</v>
      </c>
      <c r="F186" s="83">
        <v>0</v>
      </c>
      <c r="G186" s="83">
        <v>0</v>
      </c>
      <c r="H186" s="83">
        <v>0</v>
      </c>
      <c r="I186" s="83"/>
      <c r="J186" s="83"/>
      <c r="K186" s="84">
        <v>0</v>
      </c>
    </row>
    <row r="187" spans="1:11" ht="34.5" hidden="1" thickTop="1">
      <c r="A187" s="904" t="s">
        <v>441</v>
      </c>
      <c r="B187" s="67" t="s">
        <v>425</v>
      </c>
      <c r="C187" s="95"/>
      <c r="D187" s="120"/>
      <c r="E187" s="96"/>
      <c r="F187" s="96"/>
      <c r="G187" s="96"/>
      <c r="H187" s="96"/>
      <c r="I187" s="96"/>
      <c r="J187" s="96"/>
      <c r="K187" s="97"/>
    </row>
    <row r="188" spans="1:11" ht="22.5" hidden="1">
      <c r="A188" s="905"/>
      <c r="B188" s="72" t="s">
        <v>426</v>
      </c>
      <c r="C188" s="89"/>
      <c r="D188" s="123"/>
      <c r="E188" s="77"/>
      <c r="F188" s="77"/>
      <c r="G188" s="77"/>
      <c r="H188" s="77"/>
      <c r="I188" s="77"/>
      <c r="J188" s="77"/>
      <c r="K188" s="78"/>
    </row>
    <row r="189" spans="1:11" ht="22.5" hidden="1">
      <c r="A189" s="905"/>
      <c r="B189" s="72" t="s">
        <v>427</v>
      </c>
      <c r="C189" s="105" t="s">
        <v>418</v>
      </c>
      <c r="D189" s="257" t="s">
        <v>447</v>
      </c>
      <c r="E189" s="77"/>
      <c r="F189" s="77"/>
      <c r="G189" s="77"/>
      <c r="H189" s="77"/>
      <c r="I189" s="77"/>
      <c r="J189" s="77"/>
      <c r="K189" s="78"/>
    </row>
    <row r="190" spans="1:11" ht="21.75" hidden="1">
      <c r="A190" s="905"/>
      <c r="B190" s="93" t="s">
        <v>651</v>
      </c>
      <c r="C190" s="89"/>
      <c r="D190" s="123"/>
      <c r="E190" s="77"/>
      <c r="F190" s="77"/>
      <c r="G190" s="77"/>
      <c r="H190" s="77"/>
      <c r="I190" s="77"/>
      <c r="J190" s="77"/>
      <c r="K190" s="78"/>
    </row>
    <row r="191" spans="1:11" ht="12.75" hidden="1">
      <c r="A191" s="905"/>
      <c r="B191" s="107" t="s">
        <v>647</v>
      </c>
      <c r="C191" s="89"/>
      <c r="D191" s="123"/>
      <c r="E191" s="77">
        <f>I191+J191</f>
        <v>0</v>
      </c>
      <c r="F191" s="77">
        <v>0</v>
      </c>
      <c r="G191" s="77">
        <v>0</v>
      </c>
      <c r="H191" s="77">
        <v>0</v>
      </c>
      <c r="I191" s="77">
        <v>0</v>
      </c>
      <c r="J191" s="77">
        <v>0</v>
      </c>
      <c r="K191" s="78">
        <v>0</v>
      </c>
    </row>
    <row r="192" spans="1:11" ht="13.5" hidden="1" thickBot="1">
      <c r="A192" s="906"/>
      <c r="B192" s="109" t="s">
        <v>648</v>
      </c>
      <c r="C192" s="94"/>
      <c r="D192" s="258"/>
      <c r="E192" s="81">
        <f>I192+J192</f>
        <v>0</v>
      </c>
      <c r="F192" s="83">
        <v>0</v>
      </c>
      <c r="G192" s="83">
        <v>0</v>
      </c>
      <c r="H192" s="83">
        <v>0</v>
      </c>
      <c r="I192" s="83">
        <v>0</v>
      </c>
      <c r="J192" s="83"/>
      <c r="K192" s="84">
        <v>0</v>
      </c>
    </row>
    <row r="193" spans="1:11" ht="40.5" customHeight="1" thickTop="1">
      <c r="A193" s="907" t="s">
        <v>434</v>
      </c>
      <c r="B193" s="67" t="s">
        <v>425</v>
      </c>
      <c r="C193" s="95"/>
      <c r="D193" s="120"/>
      <c r="E193" s="69"/>
      <c r="F193" s="69"/>
      <c r="G193" s="69"/>
      <c r="H193" s="69"/>
      <c r="I193" s="69"/>
      <c r="J193" s="69"/>
      <c r="K193" s="70"/>
    </row>
    <row r="194" spans="1:11" ht="22.5">
      <c r="A194" s="908"/>
      <c r="B194" s="72" t="s">
        <v>426</v>
      </c>
      <c r="C194" s="89"/>
      <c r="D194" s="123"/>
      <c r="E194" s="74"/>
      <c r="F194" s="74"/>
      <c r="G194" s="74"/>
      <c r="H194" s="74"/>
      <c r="I194" s="74"/>
      <c r="J194" s="74"/>
      <c r="K194" s="75"/>
    </row>
    <row r="195" spans="1:11" ht="22.5">
      <c r="A195" s="908"/>
      <c r="B195" s="72" t="s">
        <v>427</v>
      </c>
      <c r="C195" s="105"/>
      <c r="D195" s="123"/>
      <c r="E195" s="74"/>
      <c r="F195" s="74"/>
      <c r="G195" s="74"/>
      <c r="H195" s="74"/>
      <c r="I195" s="74"/>
      <c r="J195" s="74"/>
      <c r="K195" s="75"/>
    </row>
    <row r="196" spans="1:11" ht="22.5">
      <c r="A196" s="908"/>
      <c r="B196" s="93" t="s">
        <v>652</v>
      </c>
      <c r="C196" s="105" t="s">
        <v>418</v>
      </c>
      <c r="D196" s="257" t="s">
        <v>447</v>
      </c>
      <c r="E196" s="74"/>
      <c r="F196" s="74"/>
      <c r="G196" s="74"/>
      <c r="H196" s="74"/>
      <c r="I196" s="74"/>
      <c r="J196" s="74"/>
      <c r="K196" s="75"/>
    </row>
    <row r="197" spans="1:11" ht="12.75">
      <c r="A197" s="908"/>
      <c r="B197" s="107" t="s">
        <v>647</v>
      </c>
      <c r="C197" s="89"/>
      <c r="D197" s="123"/>
      <c r="E197" s="77">
        <f>SUM(F197:K197)</f>
        <v>0</v>
      </c>
      <c r="F197" s="77">
        <v>0</v>
      </c>
      <c r="G197" s="77">
        <v>0</v>
      </c>
      <c r="H197" s="77">
        <v>0</v>
      </c>
      <c r="I197" s="77">
        <v>0</v>
      </c>
      <c r="J197" s="77">
        <v>0</v>
      </c>
      <c r="K197" s="78">
        <v>0</v>
      </c>
    </row>
    <row r="198" spans="1:11" ht="13.5" thickBot="1">
      <c r="A198" s="909"/>
      <c r="B198" s="109" t="s">
        <v>648</v>
      </c>
      <c r="C198" s="94"/>
      <c r="D198" s="94"/>
      <c r="E198" s="77">
        <f>SUM(F198:K198)</f>
        <v>6811.93</v>
      </c>
      <c r="F198" s="83">
        <v>0</v>
      </c>
      <c r="G198" s="83">
        <v>0</v>
      </c>
      <c r="H198" s="83">
        <v>0</v>
      </c>
      <c r="I198" s="83">
        <v>2017.51</v>
      </c>
      <c r="J198" s="83">
        <v>4794.42</v>
      </c>
      <c r="K198" s="84">
        <v>0</v>
      </c>
    </row>
    <row r="199" spans="1:11" s="106" customFormat="1" ht="23.25" customHeight="1" thickBot="1" thickTop="1">
      <c r="A199" s="917" t="s">
        <v>610</v>
      </c>
      <c r="B199" s="913"/>
      <c r="C199" s="913" t="s">
        <v>448</v>
      </c>
      <c r="D199" s="913"/>
      <c r="E199" s="134">
        <f aca="true" t="shared" si="0" ref="E199:K200">E16+E22+E70+E76+E125+E143+E149+E82+E155+E161+E167+E191+E58+E197+E131+E101+E185+E28+E34+E40+E46+E113+E52+E173+E137+E64+E179+E88+E94+E107+E119</f>
        <v>1056724</v>
      </c>
      <c r="F199" s="134">
        <f t="shared" si="0"/>
        <v>0</v>
      </c>
      <c r="G199" s="134">
        <f t="shared" si="0"/>
        <v>0</v>
      </c>
      <c r="H199" s="134">
        <f t="shared" si="0"/>
        <v>0</v>
      </c>
      <c r="I199" s="134">
        <f t="shared" si="0"/>
        <v>157287</v>
      </c>
      <c r="J199" s="134">
        <f t="shared" si="0"/>
        <v>899437</v>
      </c>
      <c r="K199" s="146">
        <f t="shared" si="0"/>
        <v>0</v>
      </c>
    </row>
    <row r="200" spans="1:11" s="106" customFormat="1" ht="24" customHeight="1" thickBot="1" thickTop="1">
      <c r="A200" s="910" t="s">
        <v>649</v>
      </c>
      <c r="B200" s="911"/>
      <c r="C200" s="913" t="s">
        <v>448</v>
      </c>
      <c r="D200" s="913"/>
      <c r="E200" s="134">
        <f t="shared" si="0"/>
        <v>1889476.8900000001</v>
      </c>
      <c r="F200" s="134">
        <f t="shared" si="0"/>
        <v>0</v>
      </c>
      <c r="G200" s="134">
        <f t="shared" si="0"/>
        <v>1148200.26</v>
      </c>
      <c r="H200" s="134">
        <f t="shared" si="0"/>
        <v>0</v>
      </c>
      <c r="I200" s="134">
        <f t="shared" si="0"/>
        <v>118799.68</v>
      </c>
      <c r="J200" s="134">
        <f t="shared" si="0"/>
        <v>622476.9500000001</v>
      </c>
      <c r="K200" s="146">
        <f t="shared" si="0"/>
        <v>0</v>
      </c>
    </row>
    <row r="201" spans="1:11" s="143" customFormat="1" ht="18.75" customHeight="1" thickTop="1">
      <c r="A201" s="139"/>
      <c r="B201" s="139" t="s">
        <v>449</v>
      </c>
      <c r="C201" s="238">
        <f>F201+J201</f>
        <v>1056724</v>
      </c>
      <c r="D201" s="141"/>
      <c r="E201" s="135" t="s">
        <v>452</v>
      </c>
      <c r="F201" s="135">
        <f>F199+G199+H199</f>
        <v>0</v>
      </c>
      <c r="G201" s="135"/>
      <c r="H201" s="135"/>
      <c r="I201" s="142" t="s">
        <v>453</v>
      </c>
      <c r="J201" s="142">
        <f>I199+J199+K199</f>
        <v>1056724</v>
      </c>
      <c r="K201" s="142"/>
    </row>
    <row r="202" spans="1:8" s="106" customFormat="1" ht="29.25" customHeight="1">
      <c r="A202" s="144"/>
      <c r="B202" s="137"/>
      <c r="C202" s="138"/>
      <c r="D202" s="138"/>
      <c r="E202" s="145"/>
      <c r="F202" s="145"/>
      <c r="G202" s="145"/>
      <c r="H202" s="145"/>
    </row>
  </sheetData>
  <sheetProtection/>
  <mergeCells count="50">
    <mergeCell ref="A30:A35"/>
    <mergeCell ref="A3:K3"/>
    <mergeCell ref="A5:A10"/>
    <mergeCell ref="B5:B10"/>
    <mergeCell ref="C5:C10"/>
    <mergeCell ref="D5:D10"/>
    <mergeCell ref="E5:E10"/>
    <mergeCell ref="F5:H5"/>
    <mergeCell ref="I5:K5"/>
    <mergeCell ref="G6:G10"/>
    <mergeCell ref="A169:A174"/>
    <mergeCell ref="K6:K10"/>
    <mergeCell ref="H6:H10"/>
    <mergeCell ref="I6:I10"/>
    <mergeCell ref="J6:J10"/>
    <mergeCell ref="A72:A77"/>
    <mergeCell ref="F6:F10"/>
    <mergeCell ref="A12:A17"/>
    <mergeCell ref="A18:A23"/>
    <mergeCell ref="A24:A29"/>
    <mergeCell ref="A175:A180"/>
    <mergeCell ref="A48:A53"/>
    <mergeCell ref="A54:A59"/>
    <mergeCell ref="A66:A71"/>
    <mergeCell ref="C200:D200"/>
    <mergeCell ref="A193:A198"/>
    <mergeCell ref="A199:B199"/>
    <mergeCell ref="A60:A65"/>
    <mergeCell ref="A115:A120"/>
    <mergeCell ref="A121:A126"/>
    <mergeCell ref="A103:A108"/>
    <mergeCell ref="A200:B200"/>
    <mergeCell ref="C122:D122"/>
    <mergeCell ref="A127:A132"/>
    <mergeCell ref="A139:A144"/>
    <mergeCell ref="C199:D199"/>
    <mergeCell ref="A145:A150"/>
    <mergeCell ref="A151:A156"/>
    <mergeCell ref="A157:A162"/>
    <mergeCell ref="A163:A168"/>
    <mergeCell ref="A90:A95"/>
    <mergeCell ref="A187:A192"/>
    <mergeCell ref="A181:A186"/>
    <mergeCell ref="A133:A138"/>
    <mergeCell ref="A36:A41"/>
    <mergeCell ref="A42:A47"/>
    <mergeCell ref="A109:A114"/>
    <mergeCell ref="A84:A89"/>
    <mergeCell ref="A96:A102"/>
    <mergeCell ref="A78:A83"/>
  </mergeCells>
  <printOptions horizontalCentered="1"/>
  <pageMargins left="0.1968503937007874" right="0.1968503937007874" top="0.6299212598425197" bottom="0.6299212598425197" header="0" footer="0"/>
  <pageSetup firstPageNumber="106" useFirstPageNumber="1" horizontalDpi="600" verticalDpi="600" orientation="portrait" paperSize="9" scale="67" r:id="rId1"/>
  <headerFooter alignWithMargins="0">
    <oddHeader>&amp;R&amp;9
</oddHeader>
    <oddFooter>&amp;L&amp;P
</oddFooter>
  </headerFooter>
  <rowBreaks count="1" manualBreakCount="1">
    <brk id="11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2"/>
  <sheetViews>
    <sheetView zoomScaleSheetLayoutView="100" zoomScalePageLayoutView="0" workbookViewId="0" topLeftCell="A6">
      <pane ySplit="1305" topLeftCell="A94" activePane="bottomLeft" state="split"/>
      <selection pane="topLeft" activeCell="A3" sqref="A3:K3"/>
      <selection pane="bottomLeft" activeCell="A127" sqref="A127:A132"/>
    </sheetView>
  </sheetViews>
  <sheetFormatPr defaultColWidth="10.25390625" defaultRowHeight="12.75"/>
  <cols>
    <col min="1" max="1" width="3.625" style="71" bestFit="1" customWidth="1"/>
    <col min="2" max="2" width="41.625" style="71" customWidth="1"/>
    <col min="3" max="3" width="8.75390625" style="71" customWidth="1"/>
    <col min="4" max="4" width="10.00390625" style="71" customWidth="1"/>
    <col min="5" max="5" width="11.75390625" style="71" customWidth="1"/>
    <col min="6" max="6" width="10.625" style="71" bestFit="1" customWidth="1"/>
    <col min="7" max="7" width="12.00390625" style="71" customWidth="1"/>
    <col min="8" max="8" width="13.625" style="71" customWidth="1"/>
    <col min="9" max="9" width="10.875" style="71" customWidth="1"/>
    <col min="10" max="16384" width="10.25390625" style="71" customWidth="1"/>
  </cols>
  <sheetData>
    <row r="1" ht="12.75">
      <c r="K1" s="66" t="s">
        <v>582</v>
      </c>
    </row>
    <row r="2" ht="9.75" customHeight="1">
      <c r="K2" s="66"/>
    </row>
    <row r="3" spans="1:11" ht="30" customHeight="1">
      <c r="A3" s="928" t="s">
        <v>642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</row>
    <row r="4" ht="11.25" customHeight="1" thickBot="1"/>
    <row r="5" spans="1:11" ht="21" customHeight="1" thickTop="1">
      <c r="A5" s="929" t="s">
        <v>173</v>
      </c>
      <c r="B5" s="931" t="s">
        <v>408</v>
      </c>
      <c r="C5" s="933" t="s">
        <v>409</v>
      </c>
      <c r="D5" s="933" t="s">
        <v>410</v>
      </c>
      <c r="E5" s="933" t="s">
        <v>411</v>
      </c>
      <c r="F5" s="934" t="s">
        <v>502</v>
      </c>
      <c r="G5" s="934"/>
      <c r="H5" s="934"/>
      <c r="I5" s="935" t="s">
        <v>503</v>
      </c>
      <c r="J5" s="935"/>
      <c r="K5" s="936"/>
    </row>
    <row r="6" spans="1:11" ht="11.25">
      <c r="A6" s="930"/>
      <c r="B6" s="932"/>
      <c r="C6" s="927"/>
      <c r="D6" s="927"/>
      <c r="E6" s="927"/>
      <c r="F6" s="927" t="s">
        <v>414</v>
      </c>
      <c r="G6" s="927" t="s">
        <v>415</v>
      </c>
      <c r="H6" s="924" t="s">
        <v>416</v>
      </c>
      <c r="I6" s="927" t="s">
        <v>414</v>
      </c>
      <c r="J6" s="927" t="s">
        <v>471</v>
      </c>
      <c r="K6" s="921" t="s">
        <v>416</v>
      </c>
    </row>
    <row r="7" spans="1:11" ht="11.25" customHeight="1">
      <c r="A7" s="930"/>
      <c r="B7" s="932"/>
      <c r="C7" s="927"/>
      <c r="D7" s="927"/>
      <c r="E7" s="927"/>
      <c r="F7" s="927"/>
      <c r="G7" s="927"/>
      <c r="H7" s="925"/>
      <c r="I7" s="927"/>
      <c r="J7" s="927"/>
      <c r="K7" s="922"/>
    </row>
    <row r="8" spans="1:11" ht="14.25" customHeight="1">
      <c r="A8" s="930"/>
      <c r="B8" s="932"/>
      <c r="C8" s="927"/>
      <c r="D8" s="927"/>
      <c r="E8" s="927"/>
      <c r="F8" s="927"/>
      <c r="G8" s="927"/>
      <c r="H8" s="925"/>
      <c r="I8" s="927"/>
      <c r="J8" s="927"/>
      <c r="K8" s="922"/>
    </row>
    <row r="9" spans="1:11" ht="12.75" customHeight="1">
      <c r="A9" s="930"/>
      <c r="B9" s="932"/>
      <c r="C9" s="927"/>
      <c r="D9" s="927"/>
      <c r="E9" s="927"/>
      <c r="F9" s="927"/>
      <c r="G9" s="927"/>
      <c r="H9" s="925"/>
      <c r="I9" s="927"/>
      <c r="J9" s="927"/>
      <c r="K9" s="922"/>
    </row>
    <row r="10" spans="1:11" ht="2.25" customHeight="1">
      <c r="A10" s="930"/>
      <c r="B10" s="932"/>
      <c r="C10" s="927"/>
      <c r="D10" s="927"/>
      <c r="E10" s="927"/>
      <c r="F10" s="927"/>
      <c r="G10" s="927"/>
      <c r="H10" s="926"/>
      <c r="I10" s="927"/>
      <c r="J10" s="927"/>
      <c r="K10" s="923"/>
    </row>
    <row r="11" spans="1:11" ht="7.5" customHeight="1" thickBot="1">
      <c r="A11" s="98">
        <v>1</v>
      </c>
      <c r="B11" s="99">
        <v>2</v>
      </c>
      <c r="C11" s="99">
        <v>3</v>
      </c>
      <c r="D11" s="99">
        <v>4</v>
      </c>
      <c r="E11" s="99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100">
        <v>11</v>
      </c>
    </row>
    <row r="12" spans="1:11" ht="29.25" customHeight="1" hidden="1" thickTop="1">
      <c r="A12" s="901" t="s">
        <v>239</v>
      </c>
      <c r="B12" s="67" t="s">
        <v>422</v>
      </c>
      <c r="C12" s="68"/>
      <c r="D12" s="250"/>
      <c r="E12" s="101"/>
      <c r="F12" s="101"/>
      <c r="G12" s="101"/>
      <c r="H12" s="101"/>
      <c r="I12" s="101"/>
      <c r="J12" s="101"/>
      <c r="K12" s="102"/>
    </row>
    <row r="13" spans="1:11" ht="12.75" customHeight="1" hidden="1">
      <c r="A13" s="902"/>
      <c r="B13" s="72" t="s">
        <v>429</v>
      </c>
      <c r="C13" s="73"/>
      <c r="D13" s="251"/>
      <c r="E13" s="103"/>
      <c r="F13" s="103"/>
      <c r="G13" s="103"/>
      <c r="H13" s="103"/>
      <c r="I13" s="103"/>
      <c r="J13" s="103"/>
      <c r="K13" s="104"/>
    </row>
    <row r="14" spans="1:11" ht="14.25" customHeight="1" hidden="1">
      <c r="A14" s="902"/>
      <c r="B14" s="72" t="s">
        <v>430</v>
      </c>
      <c r="C14" s="73"/>
      <c r="D14" s="251"/>
      <c r="E14" s="103"/>
      <c r="F14" s="103"/>
      <c r="G14" s="103"/>
      <c r="H14" s="103"/>
      <c r="I14" s="103"/>
      <c r="J14" s="103"/>
      <c r="K14" s="104"/>
    </row>
    <row r="15" spans="1:11" ht="39" customHeight="1" hidden="1">
      <c r="A15" s="902"/>
      <c r="B15" s="72" t="s">
        <v>585</v>
      </c>
      <c r="C15" s="105" t="s">
        <v>418</v>
      </c>
      <c r="D15" s="252" t="s">
        <v>463</v>
      </c>
      <c r="E15" s="103"/>
      <c r="F15" s="103"/>
      <c r="G15" s="103"/>
      <c r="H15" s="103"/>
      <c r="I15" s="103"/>
      <c r="J15" s="103"/>
      <c r="K15" s="104"/>
    </row>
    <row r="16" spans="1:11" ht="15" customHeight="1" hidden="1">
      <c r="A16" s="902"/>
      <c r="B16" s="107" t="s">
        <v>608</v>
      </c>
      <c r="C16" s="108"/>
      <c r="D16" s="253"/>
      <c r="E16" s="77">
        <f>SUM(F16:K16)</f>
        <v>0</v>
      </c>
      <c r="F16" s="77">
        <v>0</v>
      </c>
      <c r="G16" s="77">
        <v>0</v>
      </c>
      <c r="H16" s="77">
        <v>0</v>
      </c>
      <c r="I16" s="77"/>
      <c r="J16" s="77"/>
      <c r="K16" s="78"/>
    </row>
    <row r="17" spans="1:11" ht="15" customHeight="1" hidden="1" thickBot="1">
      <c r="A17" s="903"/>
      <c r="B17" s="109" t="s">
        <v>609</v>
      </c>
      <c r="C17" s="110"/>
      <c r="D17" s="254"/>
      <c r="E17" s="77">
        <f>SUM(F17:K17)</f>
        <v>0</v>
      </c>
      <c r="F17" s="83">
        <v>0</v>
      </c>
      <c r="G17" s="83">
        <v>0</v>
      </c>
      <c r="H17" s="83">
        <v>0</v>
      </c>
      <c r="I17" s="83"/>
      <c r="J17" s="83"/>
      <c r="K17" s="84">
        <v>0</v>
      </c>
    </row>
    <row r="18" spans="1:11" ht="22.5" customHeight="1" hidden="1" thickTop="1">
      <c r="A18" s="901" t="s">
        <v>241</v>
      </c>
      <c r="B18" s="67" t="s">
        <v>422</v>
      </c>
      <c r="C18" s="68"/>
      <c r="D18" s="250"/>
      <c r="E18" s="69"/>
      <c r="F18" s="69"/>
      <c r="G18" s="69"/>
      <c r="H18" s="69"/>
      <c r="I18" s="69"/>
      <c r="J18" s="69"/>
      <c r="K18" s="70"/>
    </row>
    <row r="19" spans="1:11" ht="15" customHeight="1" hidden="1">
      <c r="A19" s="902"/>
      <c r="B19" s="72" t="s">
        <v>429</v>
      </c>
      <c r="C19" s="73"/>
      <c r="D19" s="251"/>
      <c r="E19" s="74"/>
      <c r="F19" s="74"/>
      <c r="G19" s="74"/>
      <c r="H19" s="74"/>
      <c r="I19" s="74"/>
      <c r="J19" s="74"/>
      <c r="K19" s="75"/>
    </row>
    <row r="20" spans="1:11" ht="15" customHeight="1" hidden="1">
      <c r="A20" s="902"/>
      <c r="B20" s="72" t="s">
        <v>430</v>
      </c>
      <c r="C20" s="73"/>
      <c r="D20" s="252"/>
      <c r="E20" s="74"/>
      <c r="F20" s="74"/>
      <c r="G20" s="74"/>
      <c r="H20" s="74"/>
      <c r="I20" s="74"/>
      <c r="J20" s="74"/>
      <c r="K20" s="75"/>
    </row>
    <row r="21" spans="1:11" ht="23.25" customHeight="1" hidden="1">
      <c r="A21" s="902"/>
      <c r="B21" s="72" t="s">
        <v>586</v>
      </c>
      <c r="C21" s="105" t="s">
        <v>418</v>
      </c>
      <c r="D21" s="252" t="s">
        <v>463</v>
      </c>
      <c r="E21" s="74"/>
      <c r="F21" s="74"/>
      <c r="G21" s="74"/>
      <c r="H21" s="74"/>
      <c r="I21" s="74"/>
      <c r="J21" s="74"/>
      <c r="K21" s="75"/>
    </row>
    <row r="22" spans="1:11" ht="15" customHeight="1" hidden="1">
      <c r="A22" s="902"/>
      <c r="B22" s="107" t="s">
        <v>608</v>
      </c>
      <c r="C22" s="79"/>
      <c r="D22" s="255"/>
      <c r="E22" s="77">
        <f>SUM(F22:K22)</f>
        <v>0</v>
      </c>
      <c r="F22" s="77">
        <v>0</v>
      </c>
      <c r="G22" s="77">
        <v>0</v>
      </c>
      <c r="H22" s="77">
        <v>0</v>
      </c>
      <c r="I22" s="77"/>
      <c r="J22" s="77"/>
      <c r="K22" s="78"/>
    </row>
    <row r="23" spans="1:11" ht="15" customHeight="1" hidden="1" thickBot="1">
      <c r="A23" s="903"/>
      <c r="B23" s="109" t="s">
        <v>609</v>
      </c>
      <c r="C23" s="80"/>
      <c r="D23" s="256"/>
      <c r="E23" s="77">
        <f>SUM(F23:K23)</f>
        <v>0</v>
      </c>
      <c r="F23" s="83">
        <v>0</v>
      </c>
      <c r="G23" s="83">
        <v>0</v>
      </c>
      <c r="H23" s="83">
        <v>0</v>
      </c>
      <c r="I23" s="83"/>
      <c r="J23" s="83"/>
      <c r="K23" s="84"/>
    </row>
    <row r="24" spans="1:11" ht="27" customHeight="1" hidden="1" thickTop="1">
      <c r="A24" s="907" t="s">
        <v>242</v>
      </c>
      <c r="B24" s="67" t="s">
        <v>422</v>
      </c>
      <c r="C24" s="95"/>
      <c r="D24" s="120"/>
      <c r="E24" s="69"/>
      <c r="F24" s="69"/>
      <c r="G24" s="69"/>
      <c r="H24" s="69"/>
      <c r="I24" s="69"/>
      <c r="J24" s="69"/>
      <c r="K24" s="70"/>
    </row>
    <row r="25" spans="1:11" ht="15" customHeight="1" hidden="1">
      <c r="A25" s="908"/>
      <c r="B25" s="72" t="s">
        <v>429</v>
      </c>
      <c r="C25" s="89"/>
      <c r="D25" s="123"/>
      <c r="E25" s="74"/>
      <c r="F25" s="74"/>
      <c r="G25" s="74"/>
      <c r="H25" s="74"/>
      <c r="I25" s="74"/>
      <c r="J25" s="74"/>
      <c r="K25" s="75"/>
    </row>
    <row r="26" spans="1:11" ht="15" customHeight="1" hidden="1">
      <c r="A26" s="908"/>
      <c r="B26" s="72" t="s">
        <v>430</v>
      </c>
      <c r="C26" s="105"/>
      <c r="D26" s="123"/>
      <c r="E26" s="74"/>
      <c r="F26" s="74"/>
      <c r="G26" s="74"/>
      <c r="H26" s="74"/>
      <c r="I26" s="74"/>
      <c r="J26" s="74"/>
      <c r="K26" s="75"/>
    </row>
    <row r="27" spans="1:11" ht="31.5" customHeight="1" hidden="1">
      <c r="A27" s="908"/>
      <c r="B27" s="93" t="s">
        <v>496</v>
      </c>
      <c r="C27" s="105" t="s">
        <v>418</v>
      </c>
      <c r="D27" s="257" t="s">
        <v>472</v>
      </c>
      <c r="E27" s="74"/>
      <c r="F27" s="74"/>
      <c r="G27" s="74"/>
      <c r="H27" s="74"/>
      <c r="I27" s="74"/>
      <c r="J27" s="74"/>
      <c r="K27" s="75"/>
    </row>
    <row r="28" spans="1:11" ht="15" customHeight="1" hidden="1">
      <c r="A28" s="908"/>
      <c r="B28" s="107" t="s">
        <v>583</v>
      </c>
      <c r="C28" s="89"/>
      <c r="D28" s="123"/>
      <c r="E28" s="77">
        <f>SUM(F28:K28)</f>
        <v>0</v>
      </c>
      <c r="F28" s="77">
        <v>0</v>
      </c>
      <c r="G28" s="77">
        <v>0</v>
      </c>
      <c r="H28" s="77">
        <v>0</v>
      </c>
      <c r="I28" s="77"/>
      <c r="J28" s="77"/>
      <c r="K28" s="78"/>
    </row>
    <row r="29" spans="1:11" ht="15" customHeight="1" hidden="1" thickBot="1">
      <c r="A29" s="909"/>
      <c r="B29" s="109" t="s">
        <v>584</v>
      </c>
      <c r="C29" s="94"/>
      <c r="D29" s="258"/>
      <c r="E29" s="77">
        <f>SUM(F29:K29)</f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4">
        <v>0</v>
      </c>
    </row>
    <row r="30" spans="1:11" ht="29.25" customHeight="1" hidden="1" thickTop="1">
      <c r="A30" s="901" t="s">
        <v>243</v>
      </c>
      <c r="B30" s="67" t="s">
        <v>422</v>
      </c>
      <c r="C30" s="68"/>
      <c r="D30" s="250"/>
      <c r="E30" s="69"/>
      <c r="F30" s="69"/>
      <c r="G30" s="69"/>
      <c r="H30" s="69"/>
      <c r="I30" s="69"/>
      <c r="J30" s="69"/>
      <c r="K30" s="70"/>
    </row>
    <row r="31" spans="1:11" ht="15" customHeight="1" hidden="1">
      <c r="A31" s="902"/>
      <c r="B31" s="72" t="s">
        <v>473</v>
      </c>
      <c r="C31" s="73"/>
      <c r="D31" s="267"/>
      <c r="E31" s="74"/>
      <c r="F31" s="74"/>
      <c r="G31" s="74"/>
      <c r="H31" s="74"/>
      <c r="I31" s="74"/>
      <c r="J31" s="74"/>
      <c r="K31" s="75"/>
    </row>
    <row r="32" spans="1:11" ht="15" customHeight="1" hidden="1">
      <c r="A32" s="902"/>
      <c r="B32" s="72" t="s">
        <v>474</v>
      </c>
      <c r="C32" s="73"/>
      <c r="D32" s="252"/>
      <c r="E32" s="77"/>
      <c r="F32" s="74"/>
      <c r="G32" s="74"/>
      <c r="H32" s="74"/>
      <c r="I32" s="74"/>
      <c r="J32" s="74"/>
      <c r="K32" s="75"/>
    </row>
    <row r="33" spans="1:11" ht="15" customHeight="1" hidden="1">
      <c r="A33" s="902"/>
      <c r="B33" s="72" t="s">
        <v>475</v>
      </c>
      <c r="C33" s="73" t="s">
        <v>418</v>
      </c>
      <c r="D33" s="252" t="s">
        <v>464</v>
      </c>
      <c r="E33" s="77"/>
      <c r="F33" s="74"/>
      <c r="G33" s="74"/>
      <c r="H33" s="74"/>
      <c r="I33" s="74"/>
      <c r="J33" s="74"/>
      <c r="K33" s="75"/>
    </row>
    <row r="34" spans="1:11" ht="15" customHeight="1" hidden="1">
      <c r="A34" s="902"/>
      <c r="B34" s="107" t="s">
        <v>583</v>
      </c>
      <c r="C34" s="79"/>
      <c r="D34" s="222"/>
      <c r="E34" s="77">
        <f>F34+G34+H34+I34+J34+K34</f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8">
        <v>0</v>
      </c>
    </row>
    <row r="35" spans="1:11" ht="15" customHeight="1" hidden="1" thickBot="1">
      <c r="A35" s="903"/>
      <c r="B35" s="109" t="s">
        <v>584</v>
      </c>
      <c r="C35" s="80"/>
      <c r="D35" s="256"/>
      <c r="E35" s="223">
        <f>F35+G35+H35+I35+J35+K35</f>
        <v>0</v>
      </c>
      <c r="F35" s="136">
        <v>0</v>
      </c>
      <c r="G35" s="136">
        <v>0</v>
      </c>
      <c r="H35" s="136">
        <v>0</v>
      </c>
      <c r="I35" s="136">
        <v>0</v>
      </c>
      <c r="J35" s="136"/>
      <c r="K35" s="147"/>
    </row>
    <row r="36" spans="1:11" ht="24" customHeight="1" hidden="1" thickTop="1">
      <c r="A36" s="901" t="s">
        <v>244</v>
      </c>
      <c r="B36" s="67" t="s">
        <v>422</v>
      </c>
      <c r="C36" s="68"/>
      <c r="D36" s="250"/>
      <c r="E36" s="69"/>
      <c r="F36" s="69"/>
      <c r="G36" s="69"/>
      <c r="H36" s="69"/>
      <c r="I36" s="69"/>
      <c r="J36" s="69"/>
      <c r="K36" s="70"/>
    </row>
    <row r="37" spans="1:11" ht="23.25" customHeight="1" hidden="1">
      <c r="A37" s="902"/>
      <c r="B37" s="72" t="s">
        <v>423</v>
      </c>
      <c r="C37" s="73"/>
      <c r="D37" s="251"/>
      <c r="E37" s="74"/>
      <c r="F37" s="74"/>
      <c r="G37" s="74"/>
      <c r="H37" s="74"/>
      <c r="I37" s="74"/>
      <c r="J37" s="74"/>
      <c r="K37" s="75"/>
    </row>
    <row r="38" spans="1:11" ht="21" customHeight="1" hidden="1">
      <c r="A38" s="902"/>
      <c r="B38" s="72" t="s">
        <v>424</v>
      </c>
      <c r="C38" s="73"/>
      <c r="D38" s="252"/>
      <c r="E38" s="74"/>
      <c r="F38" s="74"/>
      <c r="G38" s="74"/>
      <c r="H38" s="74"/>
      <c r="I38" s="74"/>
      <c r="J38" s="74"/>
      <c r="K38" s="75"/>
    </row>
    <row r="39" spans="1:11" ht="33" customHeight="1" hidden="1">
      <c r="A39" s="902"/>
      <c r="B39" s="72" t="s">
        <v>466</v>
      </c>
      <c r="C39" s="105" t="s">
        <v>418</v>
      </c>
      <c r="D39" s="252" t="s">
        <v>464</v>
      </c>
      <c r="E39" s="74"/>
      <c r="F39" s="74"/>
      <c r="G39" s="74"/>
      <c r="H39" s="74"/>
      <c r="I39" s="74"/>
      <c r="J39" s="74"/>
      <c r="K39" s="75"/>
    </row>
    <row r="40" spans="1:11" ht="15" customHeight="1" hidden="1">
      <c r="A40" s="902"/>
      <c r="B40" s="107" t="s">
        <v>583</v>
      </c>
      <c r="C40" s="79"/>
      <c r="D40" s="255"/>
      <c r="E40" s="77">
        <f>SUM(F40:K40)</f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8">
        <v>0</v>
      </c>
    </row>
    <row r="41" spans="1:11" ht="15" customHeight="1" hidden="1" thickBot="1">
      <c r="A41" s="903"/>
      <c r="B41" s="109" t="s">
        <v>584</v>
      </c>
      <c r="C41" s="82"/>
      <c r="D41" s="259"/>
      <c r="E41" s="81">
        <f>SUM(F41:K41)</f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4">
        <v>0</v>
      </c>
    </row>
    <row r="42" spans="1:11" ht="37.5" customHeight="1" hidden="1" thickTop="1">
      <c r="A42" s="901" t="s">
        <v>242</v>
      </c>
      <c r="B42" s="67" t="s">
        <v>425</v>
      </c>
      <c r="C42" s="85"/>
      <c r="D42" s="260"/>
      <c r="E42" s="69"/>
      <c r="F42" s="69"/>
      <c r="G42" s="69"/>
      <c r="H42" s="69"/>
      <c r="I42" s="69"/>
      <c r="J42" s="69"/>
      <c r="K42" s="70"/>
    </row>
    <row r="43" spans="1:11" ht="24.75" customHeight="1" hidden="1">
      <c r="A43" s="902"/>
      <c r="B43" s="72" t="s">
        <v>426</v>
      </c>
      <c r="C43" s="86"/>
      <c r="D43" s="261"/>
      <c r="E43" s="74"/>
      <c r="F43" s="74"/>
      <c r="G43" s="74"/>
      <c r="H43" s="74"/>
      <c r="I43" s="74"/>
      <c r="J43" s="74"/>
      <c r="K43" s="75"/>
    </row>
    <row r="44" spans="1:11" ht="22.5" customHeight="1" hidden="1">
      <c r="A44" s="902"/>
      <c r="B44" s="72" t="s">
        <v>427</v>
      </c>
      <c r="C44" s="86"/>
      <c r="D44" s="261"/>
      <c r="E44" s="74"/>
      <c r="F44" s="74"/>
      <c r="G44" s="74"/>
      <c r="H44" s="74"/>
      <c r="I44" s="74"/>
      <c r="J44" s="74"/>
      <c r="K44" s="75"/>
    </row>
    <row r="45" spans="1:11" ht="48" customHeight="1" hidden="1">
      <c r="A45" s="902"/>
      <c r="B45" s="72" t="s">
        <v>428</v>
      </c>
      <c r="C45" s="105" t="s">
        <v>468</v>
      </c>
      <c r="D45" s="252" t="s">
        <v>420</v>
      </c>
      <c r="E45" s="74"/>
      <c r="F45" s="74"/>
      <c r="G45" s="74"/>
      <c r="H45" s="74"/>
      <c r="I45" s="74"/>
      <c r="J45" s="74"/>
      <c r="K45" s="75"/>
    </row>
    <row r="46" spans="1:11" ht="15" customHeight="1" hidden="1">
      <c r="A46" s="902"/>
      <c r="B46" s="107" t="s">
        <v>608</v>
      </c>
      <c r="C46" s="79"/>
      <c r="D46" s="255"/>
      <c r="E46" s="77">
        <f>SUM(F46:K46)</f>
        <v>0</v>
      </c>
      <c r="F46" s="77">
        <v>0</v>
      </c>
      <c r="G46" s="77">
        <v>0</v>
      </c>
      <c r="H46" s="77">
        <v>0</v>
      </c>
      <c r="I46" s="77"/>
      <c r="J46" s="77"/>
      <c r="K46" s="78">
        <v>0</v>
      </c>
    </row>
    <row r="47" spans="1:11" ht="15" customHeight="1" hidden="1" thickBot="1">
      <c r="A47" s="903"/>
      <c r="B47" s="109" t="s">
        <v>609</v>
      </c>
      <c r="C47" s="80"/>
      <c r="D47" s="256"/>
      <c r="E47" s="77">
        <f>SUM(F47:K47)</f>
        <v>0</v>
      </c>
      <c r="F47" s="83">
        <v>0</v>
      </c>
      <c r="G47" s="83">
        <v>0</v>
      </c>
      <c r="H47" s="83">
        <v>0</v>
      </c>
      <c r="I47" s="83"/>
      <c r="J47" s="83"/>
      <c r="K47" s="84">
        <v>0</v>
      </c>
    </row>
    <row r="48" spans="1:11" ht="17.25" customHeight="1" hidden="1" thickTop="1">
      <c r="A48" s="901" t="s">
        <v>243</v>
      </c>
      <c r="B48" s="67" t="s">
        <v>438</v>
      </c>
      <c r="C48" s="68"/>
      <c r="D48" s="250"/>
      <c r="E48" s="69"/>
      <c r="F48" s="69"/>
      <c r="G48" s="69"/>
      <c r="H48" s="69"/>
      <c r="I48" s="69"/>
      <c r="J48" s="69"/>
      <c r="K48" s="70"/>
    </row>
    <row r="49" spans="1:11" ht="12.75" customHeight="1" hidden="1">
      <c r="A49" s="902"/>
      <c r="B49" s="72" t="s">
        <v>439</v>
      </c>
      <c r="C49" s="73"/>
      <c r="D49" s="251"/>
      <c r="E49" s="74"/>
      <c r="F49" s="74"/>
      <c r="G49" s="74"/>
      <c r="H49" s="74"/>
      <c r="I49" s="74"/>
      <c r="J49" s="74"/>
      <c r="K49" s="75"/>
    </row>
    <row r="50" spans="1:11" ht="14.25" customHeight="1" hidden="1">
      <c r="A50" s="902"/>
      <c r="B50" s="72" t="s">
        <v>440</v>
      </c>
      <c r="C50" s="73"/>
      <c r="D50" s="252"/>
      <c r="E50" s="74"/>
      <c r="F50" s="74"/>
      <c r="G50" s="74"/>
      <c r="H50" s="74"/>
      <c r="I50" s="74"/>
      <c r="J50" s="74"/>
      <c r="K50" s="75"/>
    </row>
    <row r="51" spans="1:11" ht="26.25" customHeight="1" hidden="1">
      <c r="A51" s="902"/>
      <c r="B51" s="72" t="s">
        <v>500</v>
      </c>
      <c r="C51" s="224" t="s">
        <v>451</v>
      </c>
      <c r="D51" s="241" t="s">
        <v>421</v>
      </c>
      <c r="E51" s="74"/>
      <c r="F51" s="74"/>
      <c r="G51" s="74"/>
      <c r="H51" s="74"/>
      <c r="I51" s="74"/>
      <c r="J51" s="74"/>
      <c r="K51" s="75"/>
    </row>
    <row r="52" spans="1:11" ht="15" customHeight="1" hidden="1">
      <c r="A52" s="902"/>
      <c r="B52" s="107" t="s">
        <v>608</v>
      </c>
      <c r="C52" s="79"/>
      <c r="D52" s="255"/>
      <c r="E52" s="77">
        <f>SUM(F52:K52)</f>
        <v>0</v>
      </c>
      <c r="F52" s="77">
        <v>0</v>
      </c>
      <c r="G52" s="77">
        <v>0</v>
      </c>
      <c r="H52" s="77">
        <v>0</v>
      </c>
      <c r="I52" s="77">
        <v>0</v>
      </c>
      <c r="J52" s="77"/>
      <c r="K52" s="78">
        <v>0</v>
      </c>
    </row>
    <row r="53" spans="1:11" ht="15" customHeight="1" hidden="1" thickBot="1">
      <c r="A53" s="903"/>
      <c r="B53" s="109" t="s">
        <v>609</v>
      </c>
      <c r="C53" s="80"/>
      <c r="D53" s="256"/>
      <c r="E53" s="81">
        <f>SUM(F53:K53)</f>
        <v>0</v>
      </c>
      <c r="F53" s="83">
        <v>0</v>
      </c>
      <c r="G53" s="83">
        <v>0</v>
      </c>
      <c r="H53" s="83">
        <v>0</v>
      </c>
      <c r="I53" s="83">
        <v>0</v>
      </c>
      <c r="J53" s="83"/>
      <c r="K53" s="84">
        <v>0</v>
      </c>
    </row>
    <row r="54" spans="1:11" ht="17.25" customHeight="1" hidden="1" thickTop="1">
      <c r="A54" s="901" t="s">
        <v>244</v>
      </c>
      <c r="B54" s="67" t="s">
        <v>541</v>
      </c>
      <c r="C54" s="68"/>
      <c r="D54" s="250"/>
      <c r="E54" s="69"/>
      <c r="F54" s="69"/>
      <c r="G54" s="69"/>
      <c r="H54" s="69"/>
      <c r="I54" s="69"/>
      <c r="J54" s="69"/>
      <c r="K54" s="70"/>
    </row>
    <row r="55" spans="1:11" ht="15" customHeight="1" hidden="1">
      <c r="A55" s="902"/>
      <c r="B55" s="72" t="s">
        <v>439</v>
      </c>
      <c r="C55" s="73"/>
      <c r="D55" s="251"/>
      <c r="E55" s="74"/>
      <c r="F55" s="74"/>
      <c r="G55" s="74"/>
      <c r="H55" s="74"/>
      <c r="I55" s="74"/>
      <c r="J55" s="74"/>
      <c r="K55" s="75"/>
    </row>
    <row r="56" spans="1:11" ht="15" customHeight="1" hidden="1">
      <c r="A56" s="902"/>
      <c r="B56" s="72" t="s">
        <v>440</v>
      </c>
      <c r="C56" s="73"/>
      <c r="D56" s="252"/>
      <c r="E56" s="74"/>
      <c r="F56" s="74"/>
      <c r="G56" s="74"/>
      <c r="H56" s="74"/>
      <c r="I56" s="74"/>
      <c r="J56" s="74"/>
      <c r="K56" s="75"/>
    </row>
    <row r="57" spans="1:11" ht="28.5" customHeight="1" hidden="1">
      <c r="A57" s="902"/>
      <c r="B57" s="72" t="s">
        <v>540</v>
      </c>
      <c r="C57" s="224" t="s">
        <v>451</v>
      </c>
      <c r="D57" s="241" t="s">
        <v>421</v>
      </c>
      <c r="E57" s="74"/>
      <c r="F57" s="74"/>
      <c r="G57" s="74"/>
      <c r="H57" s="74"/>
      <c r="I57" s="74"/>
      <c r="J57" s="74"/>
      <c r="K57" s="75"/>
    </row>
    <row r="58" spans="1:11" ht="15" customHeight="1" hidden="1">
      <c r="A58" s="902"/>
      <c r="B58" s="107" t="s">
        <v>608</v>
      </c>
      <c r="C58" s="79"/>
      <c r="D58" s="255"/>
      <c r="E58" s="77">
        <f>SUM(F58:K58)</f>
        <v>0</v>
      </c>
      <c r="F58" s="77">
        <v>0</v>
      </c>
      <c r="G58" s="77">
        <v>0</v>
      </c>
      <c r="H58" s="77">
        <v>0</v>
      </c>
      <c r="I58" s="77">
        <v>0</v>
      </c>
      <c r="J58" s="77"/>
      <c r="K58" s="78">
        <v>0</v>
      </c>
    </row>
    <row r="59" spans="1:11" ht="15" customHeight="1" hidden="1" thickBot="1">
      <c r="A59" s="903"/>
      <c r="B59" s="109" t="s">
        <v>609</v>
      </c>
      <c r="C59" s="80"/>
      <c r="D59" s="256"/>
      <c r="E59" s="81">
        <f>SUM(F59:K59)</f>
        <v>0</v>
      </c>
      <c r="F59" s="83">
        <v>0</v>
      </c>
      <c r="G59" s="83">
        <v>0</v>
      </c>
      <c r="H59" s="83">
        <v>0</v>
      </c>
      <c r="I59" s="83">
        <v>0</v>
      </c>
      <c r="J59" s="83"/>
      <c r="K59" s="84">
        <v>0</v>
      </c>
    </row>
    <row r="60" spans="1:11" ht="27" customHeight="1" hidden="1" thickTop="1">
      <c r="A60" s="901" t="s">
        <v>245</v>
      </c>
      <c r="B60" s="67" t="s">
        <v>417</v>
      </c>
      <c r="C60" s="68"/>
      <c r="D60" s="250"/>
      <c r="E60" s="101"/>
      <c r="F60" s="101"/>
      <c r="G60" s="101"/>
      <c r="H60" s="101"/>
      <c r="I60" s="101"/>
      <c r="J60" s="101"/>
      <c r="K60" s="102"/>
    </row>
    <row r="61" spans="1:11" ht="24.75" customHeight="1" hidden="1">
      <c r="A61" s="902"/>
      <c r="B61" s="72" t="s">
        <v>419</v>
      </c>
      <c r="C61" s="73"/>
      <c r="D61" s="251"/>
      <c r="E61" s="103"/>
      <c r="F61" s="103"/>
      <c r="G61" s="103"/>
      <c r="H61" s="103"/>
      <c r="I61" s="103"/>
      <c r="J61" s="103"/>
      <c r="K61" s="104"/>
    </row>
    <row r="62" spans="1:11" ht="38.25" customHeight="1" hidden="1">
      <c r="A62" s="902"/>
      <c r="B62" s="72" t="s">
        <v>488</v>
      </c>
      <c r="C62" s="73"/>
      <c r="D62" s="251"/>
      <c r="E62" s="103"/>
      <c r="F62" s="103"/>
      <c r="G62" s="103"/>
      <c r="H62" s="103"/>
      <c r="I62" s="103"/>
      <c r="J62" s="103"/>
      <c r="K62" s="104"/>
    </row>
    <row r="63" spans="1:11" ht="24.75" customHeight="1" hidden="1">
      <c r="A63" s="902"/>
      <c r="B63" s="72" t="s">
        <v>489</v>
      </c>
      <c r="C63" s="105" t="s">
        <v>418</v>
      </c>
      <c r="D63" s="252" t="s">
        <v>421</v>
      </c>
      <c r="E63" s="103"/>
      <c r="F63" s="103"/>
      <c r="G63" s="103"/>
      <c r="H63" s="103"/>
      <c r="I63" s="103"/>
      <c r="J63" s="103"/>
      <c r="K63" s="104"/>
    </row>
    <row r="64" spans="1:11" ht="15" customHeight="1" hidden="1">
      <c r="A64" s="902"/>
      <c r="B64" s="107" t="s">
        <v>608</v>
      </c>
      <c r="C64" s="108"/>
      <c r="D64" s="253"/>
      <c r="E64" s="77">
        <f>SUM(F64:K64)</f>
        <v>0</v>
      </c>
      <c r="F64" s="77"/>
      <c r="G64" s="77"/>
      <c r="H64" s="77"/>
      <c r="I64" s="77">
        <v>0</v>
      </c>
      <c r="J64" s="77">
        <v>0</v>
      </c>
      <c r="K64" s="78">
        <v>0</v>
      </c>
    </row>
    <row r="65" spans="1:11" ht="15" customHeight="1" hidden="1" thickBot="1">
      <c r="A65" s="903"/>
      <c r="B65" s="109" t="s">
        <v>609</v>
      </c>
      <c r="C65" s="110"/>
      <c r="D65" s="254"/>
      <c r="E65" s="81">
        <f>SUM(F65:K65)</f>
        <v>0</v>
      </c>
      <c r="F65" s="83"/>
      <c r="G65" s="83"/>
      <c r="H65" s="83"/>
      <c r="I65" s="83">
        <v>0</v>
      </c>
      <c r="J65" s="83">
        <v>0</v>
      </c>
      <c r="K65" s="84">
        <v>0</v>
      </c>
    </row>
    <row r="66" spans="1:11" ht="26.25" customHeight="1" hidden="1" thickTop="1">
      <c r="A66" s="901" t="s">
        <v>246</v>
      </c>
      <c r="B66" s="67" t="s">
        <v>417</v>
      </c>
      <c r="C66" s="68"/>
      <c r="D66" s="250"/>
      <c r="E66" s="101"/>
      <c r="F66" s="101"/>
      <c r="G66" s="101"/>
      <c r="H66" s="101"/>
      <c r="I66" s="101"/>
      <c r="J66" s="101"/>
      <c r="K66" s="102"/>
    </row>
    <row r="67" spans="1:11" ht="24" customHeight="1" hidden="1">
      <c r="A67" s="902"/>
      <c r="B67" s="72" t="s">
        <v>490</v>
      </c>
      <c r="C67" s="73"/>
      <c r="D67" s="251"/>
      <c r="E67" s="103"/>
      <c r="F67" s="103"/>
      <c r="G67" s="103"/>
      <c r="H67" s="103"/>
      <c r="I67" s="103"/>
      <c r="J67" s="103"/>
      <c r="K67" s="104"/>
    </row>
    <row r="68" spans="1:11" ht="23.25" customHeight="1" hidden="1">
      <c r="A68" s="902"/>
      <c r="B68" s="72" t="s">
        <v>491</v>
      </c>
      <c r="C68" s="73"/>
      <c r="D68" s="251"/>
      <c r="E68" s="103"/>
      <c r="F68" s="103"/>
      <c r="G68" s="103"/>
      <c r="H68" s="103"/>
      <c r="I68" s="103"/>
      <c r="J68" s="103"/>
      <c r="K68" s="104"/>
    </row>
    <row r="69" spans="1:11" ht="21.75" customHeight="1" hidden="1">
      <c r="A69" s="902"/>
      <c r="B69" s="72" t="s">
        <v>492</v>
      </c>
      <c r="C69" s="73"/>
      <c r="D69" s="251"/>
      <c r="E69" s="103"/>
      <c r="F69" s="103"/>
      <c r="G69" s="103"/>
      <c r="H69" s="103"/>
      <c r="I69" s="103"/>
      <c r="J69" s="103"/>
      <c r="K69" s="104"/>
    </row>
    <row r="70" spans="1:11" ht="36" customHeight="1" hidden="1">
      <c r="A70" s="902"/>
      <c r="B70" s="72" t="s">
        <v>493</v>
      </c>
      <c r="C70" s="105" t="s">
        <v>418</v>
      </c>
      <c r="D70" s="252" t="s">
        <v>421</v>
      </c>
      <c r="E70" s="103"/>
      <c r="F70" s="103"/>
      <c r="G70" s="103"/>
      <c r="H70" s="103"/>
      <c r="I70" s="103"/>
      <c r="J70" s="103"/>
      <c r="K70" s="104"/>
    </row>
    <row r="71" spans="1:11" ht="15" customHeight="1" hidden="1">
      <c r="A71" s="902"/>
      <c r="B71" s="107" t="s">
        <v>608</v>
      </c>
      <c r="C71" s="108"/>
      <c r="D71" s="253"/>
      <c r="E71" s="77">
        <f>SUM(F71:K71)</f>
        <v>0</v>
      </c>
      <c r="F71" s="77"/>
      <c r="G71" s="77"/>
      <c r="H71" s="77"/>
      <c r="I71" s="77">
        <v>0</v>
      </c>
      <c r="J71" s="77">
        <v>0</v>
      </c>
      <c r="K71" s="78">
        <v>0</v>
      </c>
    </row>
    <row r="72" spans="1:11" ht="15" customHeight="1" hidden="1" thickBot="1">
      <c r="A72" s="903"/>
      <c r="B72" s="109" t="s">
        <v>609</v>
      </c>
      <c r="C72" s="110"/>
      <c r="D72" s="254"/>
      <c r="E72" s="81">
        <f>SUM(F72:K72)</f>
        <v>0</v>
      </c>
      <c r="F72" s="83"/>
      <c r="G72" s="83"/>
      <c r="H72" s="83"/>
      <c r="I72" s="83">
        <v>0</v>
      </c>
      <c r="J72" s="83">
        <v>0</v>
      </c>
      <c r="K72" s="84">
        <v>0</v>
      </c>
    </row>
    <row r="73" spans="1:11" ht="34.5" thickTop="1">
      <c r="A73" s="901" t="s">
        <v>239</v>
      </c>
      <c r="B73" s="67" t="s">
        <v>587</v>
      </c>
      <c r="C73" s="95"/>
      <c r="D73" s="120"/>
      <c r="E73" s="96"/>
      <c r="F73" s="96"/>
      <c r="G73" s="96"/>
      <c r="H73" s="96"/>
      <c r="I73" s="96"/>
      <c r="J73" s="96"/>
      <c r="K73" s="97"/>
    </row>
    <row r="74" spans="1:11" ht="22.5">
      <c r="A74" s="902"/>
      <c r="B74" s="72" t="s">
        <v>588</v>
      </c>
      <c r="C74" s="89"/>
      <c r="D74" s="123"/>
      <c r="E74" s="77"/>
      <c r="F74" s="77"/>
      <c r="G74" s="77"/>
      <c r="H74" s="77"/>
      <c r="I74" s="77"/>
      <c r="J74" s="77"/>
      <c r="K74" s="78"/>
    </row>
    <row r="75" spans="1:11" ht="56.25">
      <c r="A75" s="902"/>
      <c r="B75" s="72" t="s">
        <v>589</v>
      </c>
      <c r="C75" s="105"/>
      <c r="D75" s="257"/>
      <c r="E75" s="77"/>
      <c r="F75" s="77"/>
      <c r="G75" s="77"/>
      <c r="H75" s="77"/>
      <c r="I75" s="77"/>
      <c r="J75" s="77"/>
      <c r="K75" s="78"/>
    </row>
    <row r="76" spans="1:11" ht="32.25">
      <c r="A76" s="902"/>
      <c r="B76" s="72" t="s">
        <v>590</v>
      </c>
      <c r="C76" s="105" t="s">
        <v>418</v>
      </c>
      <c r="D76" s="257" t="s">
        <v>421</v>
      </c>
      <c r="E76" s="77"/>
      <c r="F76" s="77"/>
      <c r="G76" s="77"/>
      <c r="H76" s="77"/>
      <c r="I76" s="77"/>
      <c r="J76" s="77"/>
      <c r="K76" s="78"/>
    </row>
    <row r="77" spans="1:11" ht="15" customHeight="1">
      <c r="A77" s="902"/>
      <c r="B77" s="107" t="s">
        <v>647</v>
      </c>
      <c r="C77" s="89"/>
      <c r="D77" s="123"/>
      <c r="E77" s="77">
        <f>SUM(F77:K77)</f>
        <v>74174</v>
      </c>
      <c r="F77" s="77">
        <v>0</v>
      </c>
      <c r="G77" s="77">
        <v>0</v>
      </c>
      <c r="H77" s="77">
        <v>0</v>
      </c>
      <c r="I77" s="77">
        <v>20554</v>
      </c>
      <c r="J77" s="77">
        <v>38403</v>
      </c>
      <c r="K77" s="78">
        <v>15217</v>
      </c>
    </row>
    <row r="78" spans="1:11" ht="15" customHeight="1" thickBot="1">
      <c r="A78" s="903"/>
      <c r="B78" s="109" t="s">
        <v>648</v>
      </c>
      <c r="C78" s="94"/>
      <c r="D78" s="258"/>
      <c r="E78" s="81">
        <f>SUM(F78:K78)</f>
        <v>68278.51000000001</v>
      </c>
      <c r="F78" s="83">
        <v>0</v>
      </c>
      <c r="G78" s="83">
        <v>0</v>
      </c>
      <c r="H78" s="83">
        <v>0</v>
      </c>
      <c r="I78" s="83">
        <v>19234.83</v>
      </c>
      <c r="J78" s="83">
        <v>33826.76</v>
      </c>
      <c r="K78" s="84">
        <v>15216.92</v>
      </c>
    </row>
    <row r="79" spans="1:11" ht="15" customHeight="1" thickTop="1">
      <c r="A79" s="907" t="s">
        <v>241</v>
      </c>
      <c r="B79" s="116" t="s">
        <v>476</v>
      </c>
      <c r="C79" s="95"/>
      <c r="D79" s="120"/>
      <c r="E79" s="69"/>
      <c r="F79" s="69"/>
      <c r="G79" s="69"/>
      <c r="H79" s="69"/>
      <c r="I79" s="69"/>
      <c r="J79" s="69"/>
      <c r="K79" s="70"/>
    </row>
    <row r="80" spans="1:11" ht="15.75" customHeight="1">
      <c r="A80" s="908"/>
      <c r="B80" s="117" t="s">
        <v>516</v>
      </c>
      <c r="C80" s="89"/>
      <c r="D80" s="123"/>
      <c r="E80" s="74"/>
      <c r="F80" s="74"/>
      <c r="G80" s="74"/>
      <c r="H80" s="74"/>
      <c r="I80" s="74"/>
      <c r="J80" s="74"/>
      <c r="K80" s="75"/>
    </row>
    <row r="81" spans="1:11" ht="16.5" customHeight="1">
      <c r="A81" s="908"/>
      <c r="B81" s="117" t="s">
        <v>517</v>
      </c>
      <c r="C81" s="89"/>
      <c r="D81" s="123"/>
      <c r="E81" s="74"/>
      <c r="F81" s="74"/>
      <c r="G81" s="74"/>
      <c r="H81" s="74"/>
      <c r="I81" s="74"/>
      <c r="J81" s="74"/>
      <c r="K81" s="75"/>
    </row>
    <row r="82" spans="1:11" ht="38.25" customHeight="1">
      <c r="A82" s="908"/>
      <c r="B82" s="93" t="s">
        <v>518</v>
      </c>
      <c r="C82" s="105" t="s">
        <v>418</v>
      </c>
      <c r="D82" s="257" t="s">
        <v>527</v>
      </c>
      <c r="E82" s="74"/>
      <c r="F82" s="74"/>
      <c r="G82" s="74"/>
      <c r="H82" s="74"/>
      <c r="I82" s="74"/>
      <c r="J82" s="74"/>
      <c r="K82" s="75"/>
    </row>
    <row r="83" spans="1:11" ht="15" customHeight="1">
      <c r="A83" s="908"/>
      <c r="B83" s="107" t="s">
        <v>647</v>
      </c>
      <c r="C83" s="89"/>
      <c r="D83" s="123"/>
      <c r="E83" s="77">
        <f>SUM(F83:K83)</f>
        <v>267274</v>
      </c>
      <c r="F83" s="77">
        <v>0</v>
      </c>
      <c r="G83" s="77">
        <v>0</v>
      </c>
      <c r="H83" s="77">
        <v>0</v>
      </c>
      <c r="I83" s="77">
        <v>39384</v>
      </c>
      <c r="J83" s="77">
        <v>223179</v>
      </c>
      <c r="K83" s="78">
        <v>4711</v>
      </c>
    </row>
    <row r="84" spans="1:11" ht="15" customHeight="1" thickBot="1">
      <c r="A84" s="909"/>
      <c r="B84" s="109" t="s">
        <v>648</v>
      </c>
      <c r="C84" s="91"/>
      <c r="D84" s="262"/>
      <c r="E84" s="77">
        <f>SUM(F84:K84)</f>
        <v>208254.05</v>
      </c>
      <c r="F84" s="83">
        <v>0</v>
      </c>
      <c r="G84" s="83">
        <v>0</v>
      </c>
      <c r="H84" s="83">
        <v>0</v>
      </c>
      <c r="I84" s="83">
        <v>30615.86</v>
      </c>
      <c r="J84" s="83">
        <v>173489.88</v>
      </c>
      <c r="K84" s="84">
        <v>4148.31</v>
      </c>
    </row>
    <row r="85" spans="1:11" ht="38.25" customHeight="1" hidden="1" thickTop="1">
      <c r="A85" s="901" t="s">
        <v>249</v>
      </c>
      <c r="B85" s="239" t="s">
        <v>519</v>
      </c>
      <c r="C85" s="68"/>
      <c r="D85" s="68"/>
      <c r="E85" s="69"/>
      <c r="F85" s="111"/>
      <c r="G85" s="111"/>
      <c r="H85" s="111"/>
      <c r="I85" s="111"/>
      <c r="J85" s="111"/>
      <c r="K85" s="112"/>
    </row>
    <row r="86" spans="1:11" ht="27.75" customHeight="1" hidden="1">
      <c r="A86" s="902"/>
      <c r="B86" s="72" t="s">
        <v>520</v>
      </c>
      <c r="C86" s="227"/>
      <c r="D86" s="227"/>
      <c r="E86" s="74"/>
      <c r="F86" s="74"/>
      <c r="G86" s="74"/>
      <c r="H86" s="74"/>
      <c r="I86" s="74"/>
      <c r="J86" s="74"/>
      <c r="K86" s="75"/>
    </row>
    <row r="87" spans="1:11" ht="28.5" customHeight="1" hidden="1">
      <c r="A87" s="902"/>
      <c r="B87" s="72" t="s">
        <v>521</v>
      </c>
      <c r="C87" s="73"/>
      <c r="D87" s="73"/>
      <c r="E87" s="74"/>
      <c r="F87" s="74"/>
      <c r="G87" s="74"/>
      <c r="H87" s="74"/>
      <c r="I87" s="74"/>
      <c r="J87" s="74"/>
      <c r="K87" s="75"/>
    </row>
    <row r="88" spans="1:11" ht="27" customHeight="1" hidden="1">
      <c r="A88" s="902"/>
      <c r="B88" s="72" t="s">
        <v>591</v>
      </c>
      <c r="C88" s="105" t="s">
        <v>418</v>
      </c>
      <c r="D88" s="241" t="s">
        <v>592</v>
      </c>
      <c r="E88" s="74"/>
      <c r="F88" s="74"/>
      <c r="G88" s="74"/>
      <c r="H88" s="74"/>
      <c r="I88" s="74"/>
      <c r="J88" s="74"/>
      <c r="K88" s="75"/>
    </row>
    <row r="89" spans="1:11" ht="15" customHeight="1" hidden="1">
      <c r="A89" s="902"/>
      <c r="B89" s="107" t="s">
        <v>608</v>
      </c>
      <c r="C89" s="86"/>
      <c r="D89" s="261"/>
      <c r="E89" s="77">
        <f>SUM(F89:K89)</f>
        <v>0</v>
      </c>
      <c r="F89" s="77">
        <v>0</v>
      </c>
      <c r="G89" s="77">
        <v>0</v>
      </c>
      <c r="H89" s="77">
        <v>0</v>
      </c>
      <c r="I89" s="77"/>
      <c r="J89" s="77"/>
      <c r="K89" s="78"/>
    </row>
    <row r="90" spans="1:11" ht="15" customHeight="1" hidden="1" thickBot="1">
      <c r="A90" s="903"/>
      <c r="B90" s="109" t="s">
        <v>609</v>
      </c>
      <c r="C90" s="82"/>
      <c r="D90" s="259"/>
      <c r="E90" s="77">
        <f>SUM(F90:K90)</f>
        <v>0</v>
      </c>
      <c r="F90" s="83">
        <v>0</v>
      </c>
      <c r="G90" s="83">
        <v>0</v>
      </c>
      <c r="H90" s="83">
        <v>0</v>
      </c>
      <c r="I90" s="83"/>
      <c r="J90" s="83"/>
      <c r="K90" s="84"/>
    </row>
    <row r="91" spans="1:11" ht="15" customHeight="1" thickTop="1">
      <c r="A91" s="907" t="s">
        <v>242</v>
      </c>
      <c r="B91" s="67" t="s">
        <v>476</v>
      </c>
      <c r="C91" s="68"/>
      <c r="D91" s="250"/>
      <c r="E91" s="69"/>
      <c r="F91" s="69"/>
      <c r="G91" s="69"/>
      <c r="H91" s="69"/>
      <c r="I91" s="69"/>
      <c r="J91" s="69"/>
      <c r="K91" s="70"/>
    </row>
    <row r="92" spans="1:11" ht="15.75" customHeight="1">
      <c r="A92" s="908"/>
      <c r="B92" s="72" t="s">
        <v>480</v>
      </c>
      <c r="C92" s="227"/>
      <c r="D92" s="263"/>
      <c r="E92" s="74"/>
      <c r="F92" s="74"/>
      <c r="G92" s="74"/>
      <c r="H92" s="74"/>
      <c r="I92" s="74"/>
      <c r="J92" s="74"/>
      <c r="K92" s="75"/>
    </row>
    <row r="93" spans="1:11" ht="26.25" customHeight="1">
      <c r="A93" s="908"/>
      <c r="B93" s="72" t="s">
        <v>481</v>
      </c>
      <c r="C93" s="225"/>
      <c r="D93" s="251"/>
      <c r="E93" s="74"/>
      <c r="F93" s="74"/>
      <c r="G93" s="74"/>
      <c r="H93" s="74"/>
      <c r="I93" s="74"/>
      <c r="J93" s="74"/>
      <c r="K93" s="75"/>
    </row>
    <row r="94" spans="1:11" ht="27" customHeight="1">
      <c r="A94" s="908"/>
      <c r="B94" s="72" t="s">
        <v>482</v>
      </c>
      <c r="C94" s="224" t="s">
        <v>478</v>
      </c>
      <c r="D94" s="257" t="s">
        <v>479</v>
      </c>
      <c r="E94" s="74"/>
      <c r="F94" s="74"/>
      <c r="G94" s="74"/>
      <c r="H94" s="74"/>
      <c r="I94" s="74"/>
      <c r="J94" s="74"/>
      <c r="K94" s="75"/>
    </row>
    <row r="95" spans="1:11" ht="15" customHeight="1">
      <c r="A95" s="908"/>
      <c r="B95" s="107" t="s">
        <v>647</v>
      </c>
      <c r="C95" s="79"/>
      <c r="D95" s="255"/>
      <c r="E95" s="77">
        <f>SUM(F95:K95)</f>
        <v>148423</v>
      </c>
      <c r="F95" s="226">
        <v>0</v>
      </c>
      <c r="G95" s="77">
        <v>0</v>
      </c>
      <c r="H95" s="77">
        <v>0</v>
      </c>
      <c r="I95" s="226">
        <v>22264</v>
      </c>
      <c r="J95" s="77">
        <v>126159</v>
      </c>
      <c r="K95" s="78">
        <v>0</v>
      </c>
    </row>
    <row r="96" spans="1:11" ht="15" customHeight="1" thickBot="1">
      <c r="A96" s="909"/>
      <c r="B96" s="109" t="s">
        <v>648</v>
      </c>
      <c r="C96" s="91"/>
      <c r="D96" s="262"/>
      <c r="E96" s="77">
        <f>SUM(F96:K96)</f>
        <v>91090.63</v>
      </c>
      <c r="F96" s="136">
        <v>0</v>
      </c>
      <c r="G96" s="83">
        <v>0</v>
      </c>
      <c r="H96" s="83">
        <v>0</v>
      </c>
      <c r="I96" s="136">
        <v>13663.6</v>
      </c>
      <c r="J96" s="83">
        <v>77427.03</v>
      </c>
      <c r="K96" s="84">
        <v>0</v>
      </c>
    </row>
    <row r="97" spans="1:11" ht="17.25" customHeight="1" thickTop="1">
      <c r="A97" s="901" t="s">
        <v>243</v>
      </c>
      <c r="B97" s="67" t="s">
        <v>476</v>
      </c>
      <c r="C97" s="68"/>
      <c r="D97" s="250"/>
      <c r="E97" s="69"/>
      <c r="F97" s="69"/>
      <c r="G97" s="69"/>
      <c r="H97" s="69"/>
      <c r="I97" s="69"/>
      <c r="J97" s="69"/>
      <c r="K97" s="70"/>
    </row>
    <row r="98" spans="1:11" ht="21" customHeight="1">
      <c r="A98" s="902"/>
      <c r="B98" s="72" t="s">
        <v>480</v>
      </c>
      <c r="C98" s="105"/>
      <c r="D98" s="257"/>
      <c r="E98" s="74"/>
      <c r="F98" s="74"/>
      <c r="G98" s="74"/>
      <c r="H98" s="74"/>
      <c r="I98" s="74"/>
      <c r="J98" s="74"/>
      <c r="K98" s="75"/>
    </row>
    <row r="99" spans="1:11" ht="27" customHeight="1">
      <c r="A99" s="902"/>
      <c r="B99" s="72" t="s">
        <v>481</v>
      </c>
      <c r="C99" s="88"/>
      <c r="D99" s="263"/>
      <c r="E99" s="74"/>
      <c r="F99" s="74"/>
      <c r="G99" s="74"/>
      <c r="H99" s="74"/>
      <c r="I99" s="74"/>
      <c r="J99" s="74"/>
      <c r="K99" s="75"/>
    </row>
    <row r="100" spans="1:11" ht="25.5" customHeight="1">
      <c r="A100" s="902"/>
      <c r="B100" s="72" t="s">
        <v>482</v>
      </c>
      <c r="C100" s="105" t="s">
        <v>418</v>
      </c>
      <c r="D100" s="252" t="s">
        <v>483</v>
      </c>
      <c r="E100" s="74"/>
      <c r="F100" s="74"/>
      <c r="G100" s="74"/>
      <c r="H100" s="74"/>
      <c r="I100" s="74"/>
      <c r="J100" s="74"/>
      <c r="K100" s="75"/>
    </row>
    <row r="101" spans="1:11" ht="15" customHeight="1">
      <c r="A101" s="902"/>
      <c r="B101" s="107" t="s">
        <v>647</v>
      </c>
      <c r="C101" s="79"/>
      <c r="D101" s="255"/>
      <c r="E101" s="77">
        <f>SUM(F101:K101)</f>
        <v>93319</v>
      </c>
      <c r="F101" s="77">
        <v>0</v>
      </c>
      <c r="G101" s="77">
        <v>0</v>
      </c>
      <c r="H101" s="77">
        <v>0</v>
      </c>
      <c r="I101" s="77">
        <v>0</v>
      </c>
      <c r="J101" s="77">
        <v>93319</v>
      </c>
      <c r="K101" s="78">
        <v>0</v>
      </c>
    </row>
    <row r="102" spans="1:11" ht="15" customHeight="1" thickBot="1">
      <c r="A102" s="903"/>
      <c r="B102" s="109" t="s">
        <v>648</v>
      </c>
      <c r="C102" s="80"/>
      <c r="D102" s="256"/>
      <c r="E102" s="81">
        <f>SUM(F102:K102)</f>
        <v>81726.51</v>
      </c>
      <c r="F102" s="83">
        <v>0</v>
      </c>
      <c r="G102" s="83">
        <v>0</v>
      </c>
      <c r="H102" s="83">
        <v>0</v>
      </c>
      <c r="I102" s="83">
        <v>0</v>
      </c>
      <c r="J102" s="83">
        <v>81726.51</v>
      </c>
      <c r="K102" s="84">
        <v>0</v>
      </c>
    </row>
    <row r="103" spans="1:11" ht="16.5" customHeight="1" hidden="1" thickTop="1">
      <c r="A103" s="907" t="s">
        <v>433</v>
      </c>
      <c r="B103" s="116" t="s">
        <v>476</v>
      </c>
      <c r="C103" s="95"/>
      <c r="D103" s="120"/>
      <c r="E103" s="69"/>
      <c r="F103" s="69"/>
      <c r="G103" s="69"/>
      <c r="H103" s="69"/>
      <c r="I103" s="69"/>
      <c r="J103" s="69"/>
      <c r="K103" s="70"/>
    </row>
    <row r="104" spans="1:11" ht="17.25" customHeight="1" hidden="1">
      <c r="A104" s="908"/>
      <c r="B104" s="117" t="s">
        <v>432</v>
      </c>
      <c r="C104" s="89"/>
      <c r="D104" s="123"/>
      <c r="E104" s="74"/>
      <c r="F104" s="74"/>
      <c r="G104" s="74"/>
      <c r="H104" s="74"/>
      <c r="I104" s="74"/>
      <c r="J104" s="74"/>
      <c r="K104" s="75"/>
    </row>
    <row r="105" spans="1:11" ht="18" customHeight="1" hidden="1">
      <c r="A105" s="908"/>
      <c r="B105" s="117" t="s">
        <v>436</v>
      </c>
      <c r="C105" s="89"/>
      <c r="D105" s="123"/>
      <c r="E105" s="74"/>
      <c r="F105" s="74"/>
      <c r="G105" s="74"/>
      <c r="H105" s="74"/>
      <c r="I105" s="74"/>
      <c r="J105" s="74"/>
      <c r="K105" s="75"/>
    </row>
    <row r="106" spans="1:11" ht="33.75" customHeight="1" hidden="1">
      <c r="A106" s="908"/>
      <c r="B106" s="93" t="s">
        <v>467</v>
      </c>
      <c r="C106" s="118" t="s">
        <v>484</v>
      </c>
      <c r="D106" s="257" t="s">
        <v>483</v>
      </c>
      <c r="E106" s="74"/>
      <c r="F106" s="74"/>
      <c r="G106" s="74"/>
      <c r="H106" s="74"/>
      <c r="I106" s="74"/>
      <c r="J106" s="74"/>
      <c r="K106" s="75"/>
    </row>
    <row r="107" spans="1:11" ht="15" customHeight="1" hidden="1">
      <c r="A107" s="908"/>
      <c r="B107" s="107" t="s">
        <v>608</v>
      </c>
      <c r="C107" s="89"/>
      <c r="D107" s="123"/>
      <c r="E107" s="77">
        <f>SUM(F107:K107)</f>
        <v>0</v>
      </c>
      <c r="F107" s="77">
        <v>0</v>
      </c>
      <c r="G107" s="77">
        <v>0</v>
      </c>
      <c r="H107" s="77">
        <v>0</v>
      </c>
      <c r="I107" s="77">
        <v>0</v>
      </c>
      <c r="J107" s="77"/>
      <c r="K107" s="78">
        <v>0</v>
      </c>
    </row>
    <row r="108" spans="1:11" ht="15" customHeight="1" hidden="1" thickBot="1">
      <c r="A108" s="909"/>
      <c r="B108" s="109" t="s">
        <v>609</v>
      </c>
      <c r="C108" s="91"/>
      <c r="D108" s="262"/>
      <c r="E108" s="81">
        <f>SUM(F108:K108)</f>
        <v>0</v>
      </c>
      <c r="F108" s="83">
        <v>0</v>
      </c>
      <c r="G108" s="83">
        <v>0</v>
      </c>
      <c r="H108" s="83">
        <v>0</v>
      </c>
      <c r="I108" s="83">
        <v>0</v>
      </c>
      <c r="J108" s="83"/>
      <c r="K108" s="84">
        <v>0</v>
      </c>
    </row>
    <row r="109" spans="1:11" ht="14.25" customHeight="1" thickTop="1">
      <c r="A109" s="907" t="s">
        <v>244</v>
      </c>
      <c r="B109" s="87" t="s">
        <v>476</v>
      </c>
      <c r="C109" s="68"/>
      <c r="D109" s="250"/>
      <c r="E109" s="69"/>
      <c r="F109" s="69"/>
      <c r="G109" s="69"/>
      <c r="H109" s="69"/>
      <c r="I109" s="69"/>
      <c r="J109" s="69"/>
      <c r="K109" s="70"/>
    </row>
    <row r="110" spans="1:11" ht="16.5" customHeight="1">
      <c r="A110" s="908"/>
      <c r="B110" s="72" t="s">
        <v>548</v>
      </c>
      <c r="C110" s="105"/>
      <c r="D110" s="257"/>
      <c r="E110" s="74"/>
      <c r="F110" s="74"/>
      <c r="G110" s="74"/>
      <c r="H110" s="74"/>
      <c r="I110" s="74"/>
      <c r="J110" s="74"/>
      <c r="K110" s="75"/>
    </row>
    <row r="111" spans="1:11" ht="25.5" customHeight="1">
      <c r="A111" s="908"/>
      <c r="B111" s="72" t="s">
        <v>547</v>
      </c>
      <c r="C111" s="88"/>
      <c r="D111" s="263"/>
      <c r="E111" s="74"/>
      <c r="F111" s="74"/>
      <c r="G111" s="74"/>
      <c r="H111" s="74"/>
      <c r="I111" s="74"/>
      <c r="J111" s="74"/>
      <c r="K111" s="75"/>
    </row>
    <row r="112" spans="1:11" ht="41.25" customHeight="1">
      <c r="A112" s="908"/>
      <c r="B112" s="72" t="s">
        <v>546</v>
      </c>
      <c r="C112" s="105" t="s">
        <v>484</v>
      </c>
      <c r="D112" s="252" t="s">
        <v>483</v>
      </c>
      <c r="E112" s="74"/>
      <c r="F112" s="74"/>
      <c r="G112" s="74"/>
      <c r="H112" s="74"/>
      <c r="I112" s="74"/>
      <c r="J112" s="74"/>
      <c r="K112" s="75"/>
    </row>
    <row r="113" spans="1:11" ht="15" customHeight="1">
      <c r="A113" s="908"/>
      <c r="B113" s="107" t="s">
        <v>647</v>
      </c>
      <c r="C113" s="90"/>
      <c r="D113" s="264"/>
      <c r="E113" s="77">
        <f>SUM(F113:K113)</f>
        <v>516456</v>
      </c>
      <c r="F113" s="77">
        <v>0</v>
      </c>
      <c r="G113" s="77">
        <v>0</v>
      </c>
      <c r="H113" s="77">
        <v>0</v>
      </c>
      <c r="I113" s="77">
        <v>74732</v>
      </c>
      <c r="J113" s="77">
        <v>423485</v>
      </c>
      <c r="K113" s="78">
        <v>18239</v>
      </c>
    </row>
    <row r="114" spans="1:11" ht="15" customHeight="1" thickBot="1">
      <c r="A114" s="908"/>
      <c r="B114" s="109" t="s">
        <v>648</v>
      </c>
      <c r="C114" s="73"/>
      <c r="D114" s="251"/>
      <c r="E114" s="77">
        <f>SUM(F114:K114)</f>
        <v>314093.29000000004</v>
      </c>
      <c r="F114" s="74">
        <v>0</v>
      </c>
      <c r="G114" s="74">
        <v>0</v>
      </c>
      <c r="H114" s="74">
        <v>0</v>
      </c>
      <c r="I114" s="74">
        <v>44510.12</v>
      </c>
      <c r="J114" s="74">
        <v>252224.03</v>
      </c>
      <c r="K114" s="75">
        <v>17359.14</v>
      </c>
    </row>
    <row r="115" spans="1:11" ht="12" customHeight="1" hidden="1" thickTop="1">
      <c r="A115" s="907" t="s">
        <v>435</v>
      </c>
      <c r="B115" s="92" t="s">
        <v>487</v>
      </c>
      <c r="C115" s="120"/>
      <c r="D115" s="120"/>
      <c r="E115" s="121"/>
      <c r="F115" s="121"/>
      <c r="G115" s="121"/>
      <c r="H115" s="121"/>
      <c r="I115" s="121"/>
      <c r="J115" s="121"/>
      <c r="K115" s="122"/>
    </row>
    <row r="116" spans="1:11" ht="24" customHeight="1" hidden="1">
      <c r="A116" s="908"/>
      <c r="B116" s="93" t="s">
        <v>445</v>
      </c>
      <c r="C116" s="123"/>
      <c r="D116" s="123"/>
      <c r="E116" s="124"/>
      <c r="F116" s="124"/>
      <c r="G116" s="124"/>
      <c r="H116" s="124"/>
      <c r="I116" s="124"/>
      <c r="J116" s="124"/>
      <c r="K116" s="125"/>
    </row>
    <row r="117" spans="1:11" ht="24" customHeight="1" hidden="1">
      <c r="A117" s="908"/>
      <c r="B117" s="93" t="s">
        <v>446</v>
      </c>
      <c r="C117" s="105"/>
      <c r="D117" s="123"/>
      <c r="E117" s="124"/>
      <c r="F117" s="124"/>
      <c r="G117" s="124"/>
      <c r="H117" s="124"/>
      <c r="I117" s="124"/>
      <c r="J117" s="124"/>
      <c r="K117" s="125"/>
    </row>
    <row r="118" spans="1:11" ht="28.5" customHeight="1" hidden="1">
      <c r="A118" s="908"/>
      <c r="B118" s="93" t="s">
        <v>498</v>
      </c>
      <c r="C118" s="119" t="s">
        <v>418</v>
      </c>
      <c r="D118" s="257" t="s">
        <v>483</v>
      </c>
      <c r="E118" s="124"/>
      <c r="F118" s="124"/>
      <c r="G118" s="124"/>
      <c r="H118" s="124"/>
      <c r="I118" s="124"/>
      <c r="J118" s="124"/>
      <c r="K118" s="125"/>
    </row>
    <row r="119" spans="1:11" ht="15" customHeight="1" hidden="1">
      <c r="A119" s="908"/>
      <c r="B119" s="107" t="s">
        <v>608</v>
      </c>
      <c r="C119" s="127"/>
      <c r="D119" s="128"/>
      <c r="E119" s="129">
        <f>SUM(F119:K119)</f>
        <v>0</v>
      </c>
      <c r="F119" s="129">
        <v>0</v>
      </c>
      <c r="G119" s="129">
        <v>0</v>
      </c>
      <c r="H119" s="129">
        <v>0</v>
      </c>
      <c r="I119" s="129"/>
      <c r="J119" s="129"/>
      <c r="K119" s="126"/>
    </row>
    <row r="120" spans="1:11" ht="15" customHeight="1" hidden="1" thickBot="1">
      <c r="A120" s="909"/>
      <c r="B120" s="109" t="s">
        <v>609</v>
      </c>
      <c r="C120" s="130"/>
      <c r="D120" s="131"/>
      <c r="E120" s="148">
        <f>SUM(F120:K120)</f>
        <v>0</v>
      </c>
      <c r="F120" s="132">
        <v>0</v>
      </c>
      <c r="G120" s="132">
        <v>0</v>
      </c>
      <c r="H120" s="132">
        <v>0</v>
      </c>
      <c r="I120" s="132"/>
      <c r="J120" s="132"/>
      <c r="K120" s="133"/>
    </row>
    <row r="121" spans="1:11" ht="24" customHeight="1" hidden="1" thickTop="1">
      <c r="A121" s="907" t="s">
        <v>437</v>
      </c>
      <c r="B121" s="239" t="s">
        <v>422</v>
      </c>
      <c r="C121" s="242"/>
      <c r="D121" s="265"/>
      <c r="E121" s="69"/>
      <c r="F121" s="69"/>
      <c r="G121" s="69"/>
      <c r="H121" s="69"/>
      <c r="I121" s="69"/>
      <c r="J121" s="69"/>
      <c r="K121" s="70"/>
    </row>
    <row r="122" spans="1:11" ht="14.25" customHeight="1" hidden="1">
      <c r="A122" s="908"/>
      <c r="B122" s="72" t="s">
        <v>429</v>
      </c>
      <c r="C122" s="89"/>
      <c r="D122" s="123"/>
      <c r="E122" s="74"/>
      <c r="F122" s="74"/>
      <c r="G122" s="74"/>
      <c r="H122" s="74"/>
      <c r="I122" s="74"/>
      <c r="J122" s="74"/>
      <c r="K122" s="75"/>
    </row>
    <row r="123" spans="1:11" ht="17.25" customHeight="1" hidden="1">
      <c r="A123" s="908"/>
      <c r="B123" s="72" t="s">
        <v>430</v>
      </c>
      <c r="C123" s="89"/>
      <c r="D123" s="123"/>
      <c r="E123" s="74"/>
      <c r="F123" s="74"/>
      <c r="G123" s="74"/>
      <c r="H123" s="74"/>
      <c r="I123" s="74"/>
      <c r="J123" s="74"/>
      <c r="K123" s="75"/>
    </row>
    <row r="124" spans="1:11" ht="32.25" customHeight="1" hidden="1">
      <c r="A124" s="908"/>
      <c r="B124" s="248" t="s">
        <v>593</v>
      </c>
      <c r="C124" s="249" t="s">
        <v>418</v>
      </c>
      <c r="D124" s="266" t="s">
        <v>483</v>
      </c>
      <c r="E124" s="74"/>
      <c r="F124" s="74"/>
      <c r="G124" s="74"/>
      <c r="H124" s="74"/>
      <c r="I124" s="74"/>
      <c r="J124" s="74"/>
      <c r="K124" s="75"/>
    </row>
    <row r="125" spans="1:11" ht="15" customHeight="1" hidden="1">
      <c r="A125" s="908"/>
      <c r="B125" s="107" t="s">
        <v>608</v>
      </c>
      <c r="C125" s="89"/>
      <c r="D125" s="123"/>
      <c r="E125" s="77">
        <f>SUM(F125:K125)</f>
        <v>0</v>
      </c>
      <c r="F125" s="77">
        <v>0</v>
      </c>
      <c r="G125" s="77">
        <v>0</v>
      </c>
      <c r="H125" s="77">
        <v>0</v>
      </c>
      <c r="I125" s="77"/>
      <c r="J125" s="77"/>
      <c r="K125" s="78"/>
    </row>
    <row r="126" spans="1:11" ht="15" customHeight="1" hidden="1" thickBot="1">
      <c r="A126" s="909"/>
      <c r="B126" s="109" t="s">
        <v>609</v>
      </c>
      <c r="C126" s="94"/>
      <c r="D126" s="258"/>
      <c r="E126" s="77">
        <f>SUM(F126:K126)</f>
        <v>0</v>
      </c>
      <c r="F126" s="83">
        <v>0</v>
      </c>
      <c r="G126" s="83">
        <v>0</v>
      </c>
      <c r="H126" s="83">
        <v>0</v>
      </c>
      <c r="I126" s="83"/>
      <c r="J126" s="83"/>
      <c r="K126" s="84"/>
    </row>
    <row r="127" spans="1:11" ht="21.75" customHeight="1" thickTop="1">
      <c r="A127" s="907" t="s">
        <v>245</v>
      </c>
      <c r="B127" s="67" t="s">
        <v>532</v>
      </c>
      <c r="C127" s="95"/>
      <c r="D127" s="120"/>
      <c r="E127" s="111"/>
      <c r="F127" s="111"/>
      <c r="G127" s="111"/>
      <c r="H127" s="111"/>
      <c r="I127" s="111"/>
      <c r="J127" s="111"/>
      <c r="K127" s="112"/>
    </row>
    <row r="128" spans="1:11" ht="26.25" customHeight="1">
      <c r="A128" s="908"/>
      <c r="B128" s="72" t="s">
        <v>533</v>
      </c>
      <c r="C128" s="89"/>
      <c r="D128" s="123"/>
      <c r="E128" s="113"/>
      <c r="F128" s="113"/>
      <c r="G128" s="113"/>
      <c r="H128" s="113"/>
      <c r="I128" s="113"/>
      <c r="J128" s="113"/>
      <c r="K128" s="114"/>
    </row>
    <row r="129" spans="1:11" ht="20.25" customHeight="1">
      <c r="A129" s="908"/>
      <c r="B129" s="72" t="s">
        <v>534</v>
      </c>
      <c r="C129" s="89"/>
      <c r="D129" s="123"/>
      <c r="E129" s="113"/>
      <c r="F129" s="113"/>
      <c r="G129" s="113"/>
      <c r="H129" s="113"/>
      <c r="I129" s="113"/>
      <c r="J129" s="113"/>
      <c r="K129" s="114"/>
    </row>
    <row r="130" spans="1:11" ht="24" customHeight="1">
      <c r="A130" s="908"/>
      <c r="B130" s="72" t="s">
        <v>535</v>
      </c>
      <c r="C130" s="224" t="s">
        <v>531</v>
      </c>
      <c r="D130" s="241" t="s">
        <v>530</v>
      </c>
      <c r="E130" s="115"/>
      <c r="F130" s="115"/>
      <c r="G130" s="113"/>
      <c r="H130" s="113"/>
      <c r="I130" s="115"/>
      <c r="J130" s="113"/>
      <c r="K130" s="114"/>
    </row>
    <row r="131" spans="1:11" ht="15" customHeight="1">
      <c r="A131" s="908"/>
      <c r="B131" s="107" t="s">
        <v>647</v>
      </c>
      <c r="C131" s="79"/>
      <c r="D131" s="255"/>
      <c r="E131" s="77">
        <f>SUM(F131:K131)</f>
        <v>39444</v>
      </c>
      <c r="F131" s="77">
        <v>0</v>
      </c>
      <c r="G131" s="77">
        <v>0</v>
      </c>
      <c r="H131" s="77">
        <v>0</v>
      </c>
      <c r="I131" s="77">
        <v>0</v>
      </c>
      <c r="J131" s="77">
        <v>39444</v>
      </c>
      <c r="K131" s="78">
        <v>0</v>
      </c>
    </row>
    <row r="132" spans="1:11" ht="15" customHeight="1" thickBot="1">
      <c r="A132" s="909"/>
      <c r="B132" s="109" t="s">
        <v>648</v>
      </c>
      <c r="C132" s="80"/>
      <c r="D132" s="256"/>
      <c r="E132" s="77">
        <f>SUM(F132:K132)</f>
        <v>22644.42</v>
      </c>
      <c r="F132" s="83">
        <v>0</v>
      </c>
      <c r="G132" s="83">
        <v>0</v>
      </c>
      <c r="H132" s="83">
        <v>0</v>
      </c>
      <c r="I132" s="83">
        <v>0</v>
      </c>
      <c r="J132" s="83">
        <v>22644.42</v>
      </c>
      <c r="K132" s="84">
        <v>0</v>
      </c>
    </row>
    <row r="133" spans="1:11" ht="35.25" customHeight="1" hidden="1" thickTop="1">
      <c r="A133" s="907" t="s">
        <v>443</v>
      </c>
      <c r="B133" s="67" t="s">
        <v>425</v>
      </c>
      <c r="C133" s="95"/>
      <c r="D133" s="120"/>
      <c r="E133" s="69"/>
      <c r="F133" s="69"/>
      <c r="G133" s="69"/>
      <c r="H133" s="69"/>
      <c r="I133" s="69"/>
      <c r="J133" s="69"/>
      <c r="K133" s="70"/>
    </row>
    <row r="134" spans="1:11" ht="26.25" customHeight="1" hidden="1">
      <c r="A134" s="908"/>
      <c r="B134" s="72" t="s">
        <v>426</v>
      </c>
      <c r="C134" s="89"/>
      <c r="D134" s="123"/>
      <c r="E134" s="74"/>
      <c r="F134" s="74"/>
      <c r="G134" s="74"/>
      <c r="H134" s="74"/>
      <c r="I134" s="74"/>
      <c r="J134" s="74"/>
      <c r="K134" s="75"/>
    </row>
    <row r="135" spans="1:11" ht="21.75" customHeight="1" hidden="1">
      <c r="A135" s="908"/>
      <c r="B135" s="72" t="s">
        <v>427</v>
      </c>
      <c r="C135" s="105"/>
      <c r="D135" s="123"/>
      <c r="E135" s="74"/>
      <c r="F135" s="74"/>
      <c r="G135" s="74"/>
      <c r="H135" s="74"/>
      <c r="I135" s="74"/>
      <c r="J135" s="74"/>
      <c r="K135" s="75"/>
    </row>
    <row r="136" spans="1:11" ht="34.5" customHeight="1" hidden="1">
      <c r="A136" s="908"/>
      <c r="B136" s="93" t="s">
        <v>529</v>
      </c>
      <c r="C136" s="105" t="s">
        <v>418</v>
      </c>
      <c r="D136" s="257" t="s">
        <v>447</v>
      </c>
      <c r="E136" s="74"/>
      <c r="F136" s="74"/>
      <c r="G136" s="74"/>
      <c r="H136" s="74"/>
      <c r="I136" s="74"/>
      <c r="J136" s="74"/>
      <c r="K136" s="75"/>
    </row>
    <row r="137" spans="1:11" ht="15" customHeight="1" hidden="1">
      <c r="A137" s="908"/>
      <c r="B137" s="107" t="s">
        <v>608</v>
      </c>
      <c r="C137" s="89"/>
      <c r="D137" s="89"/>
      <c r="E137" s="77">
        <f>SUM(F137:K137)</f>
        <v>0</v>
      </c>
      <c r="F137" s="77">
        <v>0</v>
      </c>
      <c r="G137" s="77">
        <v>0</v>
      </c>
      <c r="H137" s="77">
        <v>0</v>
      </c>
      <c r="I137" s="77"/>
      <c r="J137" s="77"/>
      <c r="K137" s="78"/>
    </row>
    <row r="138" spans="1:11" ht="15" customHeight="1" hidden="1" thickBot="1">
      <c r="A138" s="909"/>
      <c r="B138" s="109" t="s">
        <v>609</v>
      </c>
      <c r="C138" s="94"/>
      <c r="D138" s="94"/>
      <c r="E138" s="77">
        <f>SUM(F138:K138)</f>
        <v>0</v>
      </c>
      <c r="F138" s="83">
        <v>0</v>
      </c>
      <c r="G138" s="83">
        <v>0</v>
      </c>
      <c r="H138" s="83">
        <v>0</v>
      </c>
      <c r="I138" s="83"/>
      <c r="J138" s="83"/>
      <c r="K138" s="84"/>
    </row>
    <row r="139" spans="1:11" s="106" customFormat="1" ht="23.25" customHeight="1" thickBot="1" thickTop="1">
      <c r="A139" s="917" t="s">
        <v>610</v>
      </c>
      <c r="B139" s="913"/>
      <c r="C139" s="913" t="s">
        <v>448</v>
      </c>
      <c r="D139" s="913"/>
      <c r="E139" s="134">
        <f aca="true" t="shared" si="0" ref="E139:K140">E16+E22+E40+E46+E89+E131+E101+E107+E52+E113+E119+E125+E28+E34+E95+E64+E71+E77+E83+E137+E58</f>
        <v>1139090</v>
      </c>
      <c r="F139" s="134">
        <f t="shared" si="0"/>
        <v>0</v>
      </c>
      <c r="G139" s="134">
        <f t="shared" si="0"/>
        <v>0</v>
      </c>
      <c r="H139" s="134">
        <f t="shared" si="0"/>
        <v>0</v>
      </c>
      <c r="I139" s="134">
        <f t="shared" si="0"/>
        <v>156934</v>
      </c>
      <c r="J139" s="134">
        <f t="shared" si="0"/>
        <v>943989</v>
      </c>
      <c r="K139" s="146">
        <f t="shared" si="0"/>
        <v>38167</v>
      </c>
    </row>
    <row r="140" spans="1:11" s="106" customFormat="1" ht="24" customHeight="1" thickBot="1" thickTop="1">
      <c r="A140" s="910" t="s">
        <v>649</v>
      </c>
      <c r="B140" s="911"/>
      <c r="C140" s="913" t="s">
        <v>448</v>
      </c>
      <c r="D140" s="913"/>
      <c r="E140" s="134">
        <f>E17+E23+E41+E47+E90+E132+E102+E108+E53+E114+E120+E126+E29+E35+E96+E65+E72+E78+E84+E138+E59</f>
        <v>786087.4100000001</v>
      </c>
      <c r="F140" s="134">
        <f t="shared" si="0"/>
        <v>0</v>
      </c>
      <c r="G140" s="134">
        <f t="shared" si="0"/>
        <v>0</v>
      </c>
      <c r="H140" s="134">
        <f t="shared" si="0"/>
        <v>0</v>
      </c>
      <c r="I140" s="134">
        <f t="shared" si="0"/>
        <v>108024.41</v>
      </c>
      <c r="J140" s="134">
        <f t="shared" si="0"/>
        <v>641338.63</v>
      </c>
      <c r="K140" s="146">
        <f t="shared" si="0"/>
        <v>36724.369999999995</v>
      </c>
    </row>
    <row r="141" spans="1:11" s="143" customFormat="1" ht="18.75" customHeight="1" thickTop="1">
      <c r="A141" s="139"/>
      <c r="B141" s="139" t="s">
        <v>449</v>
      </c>
      <c r="C141" s="140">
        <f>F141+J141</f>
        <v>1139090</v>
      </c>
      <c r="D141" s="141"/>
      <c r="E141" s="135" t="s">
        <v>452</v>
      </c>
      <c r="F141" s="135">
        <f>F139+G139+H139</f>
        <v>0</v>
      </c>
      <c r="G141" s="135"/>
      <c r="H141" s="135"/>
      <c r="I141" s="142" t="s">
        <v>453</v>
      </c>
      <c r="J141" s="142">
        <f>I139+J139+K139</f>
        <v>1139090</v>
      </c>
      <c r="K141" s="142"/>
    </row>
    <row r="142" spans="1:8" s="106" customFormat="1" ht="29.25" customHeight="1">
      <c r="A142" s="144"/>
      <c r="B142" s="137"/>
      <c r="C142" s="138"/>
      <c r="D142" s="138"/>
      <c r="E142" s="145"/>
      <c r="F142" s="145"/>
      <c r="G142" s="145"/>
      <c r="H142" s="145"/>
    </row>
  </sheetData>
  <sheetProtection/>
  <mergeCells count="39">
    <mergeCell ref="A133:A138"/>
    <mergeCell ref="A139:B139"/>
    <mergeCell ref="C139:D139"/>
    <mergeCell ref="A140:B140"/>
    <mergeCell ref="C140:D140"/>
    <mergeCell ref="A91:A96"/>
    <mergeCell ref="A127:A132"/>
    <mergeCell ref="A97:A102"/>
    <mergeCell ref="A103:A108"/>
    <mergeCell ref="A109:A114"/>
    <mergeCell ref="A115:A120"/>
    <mergeCell ref="A121:A126"/>
    <mergeCell ref="A60:A65"/>
    <mergeCell ref="A66:A72"/>
    <mergeCell ref="A73:A78"/>
    <mergeCell ref="A85:A90"/>
    <mergeCell ref="A79:A84"/>
    <mergeCell ref="A54:A59"/>
    <mergeCell ref="A24:A29"/>
    <mergeCell ref="A30:A35"/>
    <mergeCell ref="A36:A41"/>
    <mergeCell ref="A42:A47"/>
    <mergeCell ref="A48:A53"/>
    <mergeCell ref="H6:H10"/>
    <mergeCell ref="I6:I10"/>
    <mergeCell ref="J6:J10"/>
    <mergeCell ref="K6:K10"/>
    <mergeCell ref="A12:A17"/>
    <mergeCell ref="A18:A23"/>
    <mergeCell ref="A3:K3"/>
    <mergeCell ref="A5:A10"/>
    <mergeCell ref="B5:B10"/>
    <mergeCell ref="C5:C10"/>
    <mergeCell ref="D5:D10"/>
    <mergeCell ref="E5:E10"/>
    <mergeCell ref="F5:H5"/>
    <mergeCell ref="I5:K5"/>
    <mergeCell ref="F6:F10"/>
    <mergeCell ref="G6:G10"/>
  </mergeCells>
  <printOptions horizontalCentered="1"/>
  <pageMargins left="0.1968503937007874" right="0.1968503937007874" top="0.7086614173228347" bottom="0.7086614173228347" header="0" footer="0"/>
  <pageSetup firstPageNumber="108" useFirstPageNumber="1" horizontalDpi="600" verticalDpi="600" orientation="portrait" paperSize="9" scale="67" r:id="rId1"/>
  <headerFooter alignWithMargins="0">
    <oddHeader>&amp;R&amp;9
</oddHeader>
    <oddFooter>&amp;L&amp;P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465"/>
  <sheetViews>
    <sheetView zoomScalePageLayoutView="0" workbookViewId="0" topLeftCell="A4">
      <selection activeCell="D34" sqref="D34"/>
    </sheetView>
  </sheetViews>
  <sheetFormatPr defaultColWidth="9.00390625" defaultRowHeight="15" customHeight="1"/>
  <cols>
    <col min="1" max="1" width="5.00390625" style="9" customWidth="1"/>
    <col min="2" max="2" width="21.75390625" style="9" customWidth="1"/>
    <col min="3" max="3" width="0.12890625" style="3" customWidth="1"/>
    <col min="4" max="4" width="18.00390625" style="3" customWidth="1"/>
    <col min="5" max="5" width="13.875" style="3" hidden="1" customWidth="1"/>
    <col min="6" max="6" width="17.00390625" style="3" customWidth="1"/>
    <col min="7" max="7" width="12.875" style="2" hidden="1" customWidth="1"/>
    <col min="8" max="8" width="12.375" style="2" hidden="1" customWidth="1"/>
    <col min="9" max="9" width="16.25390625" style="2" hidden="1" customWidth="1"/>
    <col min="10" max="10" width="11.25390625" style="2" hidden="1" customWidth="1"/>
    <col min="11" max="11" width="0" style="2" hidden="1" customWidth="1"/>
    <col min="12" max="12" width="12.75390625" style="2" hidden="1" customWidth="1"/>
    <col min="13" max="13" width="10.625" style="2" bestFit="1" customWidth="1"/>
    <col min="14" max="14" width="10.375" style="2" customWidth="1"/>
    <col min="15" max="16384" width="9.125" style="2" customWidth="1"/>
  </cols>
  <sheetData>
    <row r="2" spans="1:10" s="16" customFormat="1" ht="17.25" customHeight="1">
      <c r="A2" s="937" t="s">
        <v>645</v>
      </c>
      <c r="B2" s="937"/>
      <c r="C2" s="937"/>
      <c r="D2" s="937"/>
      <c r="E2" s="937"/>
      <c r="F2" s="937"/>
      <c r="G2" s="937"/>
      <c r="H2" s="937"/>
      <c r="I2" s="937"/>
      <c r="J2" s="937"/>
    </row>
    <row r="3" spans="1:6" s="16" customFormat="1" ht="15" customHeight="1">
      <c r="A3" s="21"/>
      <c r="B3" s="21"/>
      <c r="C3" s="31"/>
      <c r="D3" s="31"/>
      <c r="E3" s="31"/>
      <c r="F3" s="31"/>
    </row>
    <row r="4" spans="1:6" s="16" customFormat="1" ht="15" customHeight="1">
      <c r="A4" s="21"/>
      <c r="B4" s="21"/>
      <c r="C4" s="31"/>
      <c r="D4" s="31"/>
      <c r="E4" s="31"/>
      <c r="F4" s="31"/>
    </row>
    <row r="5" spans="1:6" s="16" customFormat="1" ht="15" customHeight="1">
      <c r="A5" s="21"/>
      <c r="B5" s="21"/>
      <c r="C5" s="31"/>
      <c r="D5" s="31"/>
      <c r="E5" s="31"/>
      <c r="F5" s="31"/>
    </row>
    <row r="6" spans="2:6" ht="15" customHeight="1">
      <c r="B6" s="32"/>
      <c r="C6" s="33"/>
      <c r="D6" s="33"/>
      <c r="E6" s="33"/>
      <c r="F6" s="33"/>
    </row>
    <row r="7" spans="1:12" ht="15" customHeight="1">
      <c r="A7" s="27" t="s">
        <v>173</v>
      </c>
      <c r="B7" s="27" t="s">
        <v>184</v>
      </c>
      <c r="C7" s="28" t="s">
        <v>128</v>
      </c>
      <c r="D7" s="28" t="s">
        <v>185</v>
      </c>
      <c r="E7" s="28" t="s">
        <v>144</v>
      </c>
      <c r="F7" s="28" t="s">
        <v>133</v>
      </c>
      <c r="G7" s="28" t="s">
        <v>129</v>
      </c>
      <c r="H7" s="28" t="s">
        <v>129</v>
      </c>
      <c r="I7" s="28" t="s">
        <v>128</v>
      </c>
      <c r="J7" s="28" t="s">
        <v>141</v>
      </c>
      <c r="K7" s="28" t="s">
        <v>142</v>
      </c>
      <c r="L7" s="28" t="s">
        <v>186</v>
      </c>
    </row>
    <row r="8" spans="1:12" ht="15" customHeight="1">
      <c r="A8" s="34"/>
      <c r="B8" s="34" t="s">
        <v>187</v>
      </c>
      <c r="C8" s="35"/>
      <c r="D8" s="35"/>
      <c r="E8" s="35"/>
      <c r="F8" s="35"/>
      <c r="G8" s="35"/>
      <c r="H8" s="36" t="s">
        <v>188</v>
      </c>
      <c r="I8" s="36" t="s">
        <v>189</v>
      </c>
      <c r="J8" s="36"/>
      <c r="K8" s="35"/>
      <c r="L8" s="36" t="s">
        <v>190</v>
      </c>
    </row>
    <row r="9" spans="1:13" ht="15" customHeight="1">
      <c r="A9" s="37"/>
      <c r="B9" s="37"/>
      <c r="C9" s="38"/>
      <c r="D9" s="38"/>
      <c r="E9" s="38"/>
      <c r="F9" s="38"/>
      <c r="G9" s="38"/>
      <c r="H9" s="39" t="s">
        <v>191</v>
      </c>
      <c r="I9" s="29"/>
      <c r="J9" s="39" t="s">
        <v>192</v>
      </c>
      <c r="K9" s="38"/>
      <c r="L9" s="40" t="s">
        <v>193</v>
      </c>
      <c r="M9" s="3" t="s">
        <v>543</v>
      </c>
    </row>
    <row r="10" spans="1:12" ht="15" customHeight="1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4" ht="15" customHeight="1">
      <c r="A11" s="37" t="s">
        <v>194</v>
      </c>
      <c r="B11" s="41" t="s">
        <v>195</v>
      </c>
      <c r="C11" s="25"/>
      <c r="D11" s="25">
        <v>40781.3</v>
      </c>
      <c r="E11" s="25"/>
      <c r="F11" s="25">
        <v>1967780.54</v>
      </c>
      <c r="G11" s="25"/>
      <c r="H11" s="25"/>
      <c r="I11" s="25">
        <f aca="true" t="shared" si="0" ref="I11:I20">C11-D11+K11</f>
        <v>-40781.3</v>
      </c>
      <c r="J11" s="25"/>
      <c r="K11" s="25"/>
      <c r="L11" s="25"/>
      <c r="M11" s="1"/>
      <c r="N11" s="1"/>
    </row>
    <row r="12" spans="1:14" s="16" customFormat="1" ht="15" customHeight="1">
      <c r="A12" s="22" t="s">
        <v>196</v>
      </c>
      <c r="B12" s="42" t="s">
        <v>197</v>
      </c>
      <c r="C12" s="23"/>
      <c r="D12" s="23">
        <v>51011.25</v>
      </c>
      <c r="E12" s="23"/>
      <c r="F12" s="23">
        <v>2207915.57</v>
      </c>
      <c r="G12" s="23"/>
      <c r="H12" s="23"/>
      <c r="I12" s="25">
        <f t="shared" si="0"/>
        <v>-51011.25</v>
      </c>
      <c r="J12" s="23">
        <v>1220.27</v>
      </c>
      <c r="K12" s="23"/>
      <c r="L12" s="24"/>
      <c r="M12" s="1"/>
      <c r="N12" s="1"/>
    </row>
    <row r="13" spans="1:14" ht="15" customHeight="1">
      <c r="A13" s="22" t="s">
        <v>198</v>
      </c>
      <c r="B13" s="42" t="s">
        <v>525</v>
      </c>
      <c r="C13" s="23"/>
      <c r="D13" s="23">
        <v>23123.94</v>
      </c>
      <c r="E13" s="23"/>
      <c r="F13" s="23">
        <v>3614213.88</v>
      </c>
      <c r="G13" s="23"/>
      <c r="H13" s="23"/>
      <c r="I13" s="25">
        <f t="shared" si="0"/>
        <v>-23123.94</v>
      </c>
      <c r="J13" s="23">
        <v>13424.92</v>
      </c>
      <c r="K13" s="23"/>
      <c r="L13" s="24"/>
      <c r="M13" s="1"/>
      <c r="N13" s="1"/>
    </row>
    <row r="14" spans="1:14" ht="15" customHeight="1">
      <c r="A14" s="22" t="s">
        <v>199</v>
      </c>
      <c r="B14" s="42" t="s">
        <v>200</v>
      </c>
      <c r="C14" s="23"/>
      <c r="D14" s="23">
        <v>95.58</v>
      </c>
      <c r="E14" s="23"/>
      <c r="F14" s="23">
        <v>525999.28</v>
      </c>
      <c r="G14" s="23"/>
      <c r="H14" s="23"/>
      <c r="I14" s="25">
        <f t="shared" si="0"/>
        <v>-95.58</v>
      </c>
      <c r="J14" s="23"/>
      <c r="K14" s="23"/>
      <c r="L14" s="24"/>
      <c r="M14" s="1"/>
      <c r="N14" s="1"/>
    </row>
    <row r="15" spans="1:14" ht="15" customHeight="1">
      <c r="A15" s="22" t="s">
        <v>201</v>
      </c>
      <c r="B15" s="42" t="s">
        <v>524</v>
      </c>
      <c r="C15" s="23"/>
      <c r="D15" s="23">
        <v>38081.3</v>
      </c>
      <c r="E15" s="23"/>
      <c r="F15" s="23">
        <v>3881906.36</v>
      </c>
      <c r="G15" s="23"/>
      <c r="H15" s="23"/>
      <c r="I15" s="25">
        <f t="shared" si="0"/>
        <v>-38081.3</v>
      </c>
      <c r="J15" s="23"/>
      <c r="K15" s="23"/>
      <c r="L15" s="24"/>
      <c r="M15" s="1">
        <f>561.6</f>
        <v>561.6</v>
      </c>
      <c r="N15" s="1"/>
    </row>
    <row r="16" spans="1:14" ht="15" customHeight="1">
      <c r="A16" s="22" t="s">
        <v>202</v>
      </c>
      <c r="B16" s="42" t="s">
        <v>203</v>
      </c>
      <c r="C16" s="23"/>
      <c r="D16" s="23">
        <v>3930.17</v>
      </c>
      <c r="E16" s="23"/>
      <c r="F16" s="23">
        <v>1299564.35</v>
      </c>
      <c r="G16" s="23"/>
      <c r="H16" s="23"/>
      <c r="I16" s="25">
        <f t="shared" si="0"/>
        <v>-3930.17</v>
      </c>
      <c r="J16" s="23"/>
      <c r="K16" s="23"/>
      <c r="L16" s="24"/>
      <c r="M16" s="1"/>
      <c r="N16" s="1"/>
    </row>
    <row r="17" spans="1:14" ht="15" customHeight="1">
      <c r="A17" s="22" t="s">
        <v>204</v>
      </c>
      <c r="B17" s="42" t="s">
        <v>205</v>
      </c>
      <c r="C17" s="23"/>
      <c r="D17" s="23">
        <v>19341.59</v>
      </c>
      <c r="E17" s="23"/>
      <c r="F17" s="23">
        <v>3309353.38</v>
      </c>
      <c r="G17" s="23"/>
      <c r="H17" s="23"/>
      <c r="I17" s="25">
        <f t="shared" si="0"/>
        <v>-19341.59</v>
      </c>
      <c r="J17" s="23"/>
      <c r="K17" s="23"/>
      <c r="L17" s="24"/>
      <c r="M17" s="1">
        <f>187.2</f>
        <v>187.2</v>
      </c>
      <c r="N17" s="1"/>
    </row>
    <row r="18" spans="1:14" s="16" customFormat="1" ht="15" customHeight="1">
      <c r="A18" s="22" t="s">
        <v>206</v>
      </c>
      <c r="B18" s="42" t="s">
        <v>207</v>
      </c>
      <c r="C18" s="23"/>
      <c r="D18" s="23">
        <v>66833.15</v>
      </c>
      <c r="E18" s="23"/>
      <c r="F18" s="23">
        <v>3571391.17</v>
      </c>
      <c r="G18" s="23"/>
      <c r="H18" s="23"/>
      <c r="I18" s="25">
        <f t="shared" si="0"/>
        <v>-66833.15</v>
      </c>
      <c r="J18" s="23">
        <v>158.6</v>
      </c>
      <c r="K18" s="23"/>
      <c r="L18" s="24"/>
      <c r="M18" s="1"/>
      <c r="N18" s="1"/>
    </row>
    <row r="19" spans="1:14" ht="15" customHeight="1">
      <c r="A19" s="22" t="s">
        <v>208</v>
      </c>
      <c r="B19" s="42" t="s">
        <v>226</v>
      </c>
      <c r="C19" s="23"/>
      <c r="D19" s="23">
        <v>28621.27</v>
      </c>
      <c r="E19" s="23"/>
      <c r="F19" s="23">
        <v>3609612.26</v>
      </c>
      <c r="G19" s="23"/>
      <c r="H19" s="23"/>
      <c r="I19" s="25">
        <f t="shared" si="0"/>
        <v>-28621.27</v>
      </c>
      <c r="J19" s="23">
        <v>2058.22</v>
      </c>
      <c r="K19" s="23"/>
      <c r="L19" s="24"/>
      <c r="M19" s="1">
        <f>514.8</f>
        <v>514.8</v>
      </c>
      <c r="N19" s="1"/>
    </row>
    <row r="20" spans="1:14" ht="15" customHeight="1">
      <c r="A20" s="22" t="s">
        <v>209</v>
      </c>
      <c r="B20" s="42" t="s">
        <v>210</v>
      </c>
      <c r="C20" s="23"/>
      <c r="D20" s="23">
        <v>24477.31</v>
      </c>
      <c r="E20" s="23"/>
      <c r="F20" s="23">
        <v>2495449.14</v>
      </c>
      <c r="G20" s="23"/>
      <c r="H20" s="23"/>
      <c r="I20" s="25">
        <f t="shared" si="0"/>
        <v>-24477.31</v>
      </c>
      <c r="J20" s="23"/>
      <c r="K20" s="23"/>
      <c r="L20" s="24"/>
      <c r="M20" s="1"/>
      <c r="N20" s="1"/>
    </row>
    <row r="21" spans="1:13" ht="15" customHeight="1" thickBot="1">
      <c r="A21" s="34"/>
      <c r="B21" s="43"/>
      <c r="C21" s="44"/>
      <c r="D21" s="44"/>
      <c r="E21" s="44"/>
      <c r="F21" s="44"/>
      <c r="G21" s="44"/>
      <c r="H21" s="44"/>
      <c r="I21" s="25"/>
      <c r="J21" s="44"/>
      <c r="K21" s="44"/>
      <c r="L21" s="24"/>
      <c r="M21" s="1"/>
    </row>
    <row r="22" spans="1:13" s="15" customFormat="1" ht="19.5" customHeight="1" thickBot="1">
      <c r="A22" s="45"/>
      <c r="B22" s="46" t="s">
        <v>211</v>
      </c>
      <c r="C22" s="47">
        <f aca="true" t="shared" si="1" ref="C22:L22">SUM(C11:C21)</f>
        <v>0</v>
      </c>
      <c r="D22" s="47">
        <f t="shared" si="1"/>
        <v>296296.86</v>
      </c>
      <c r="E22" s="47">
        <f t="shared" si="1"/>
        <v>0</v>
      </c>
      <c r="F22" s="47">
        <f t="shared" si="1"/>
        <v>26483185.93</v>
      </c>
      <c r="G22" s="47">
        <f t="shared" si="1"/>
        <v>0</v>
      </c>
      <c r="H22" s="47">
        <f t="shared" si="1"/>
        <v>0</v>
      </c>
      <c r="I22" s="47">
        <f t="shared" si="1"/>
        <v>-296296.86</v>
      </c>
      <c r="J22" s="47">
        <f t="shared" si="1"/>
        <v>16862.010000000002</v>
      </c>
      <c r="K22" s="47">
        <f t="shared" si="1"/>
        <v>0</v>
      </c>
      <c r="L22" s="47">
        <f t="shared" si="1"/>
        <v>0</v>
      </c>
      <c r="M22" s="268"/>
    </row>
    <row r="23" spans="1:13" ht="15" customHeight="1">
      <c r="A23" s="34"/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26"/>
      <c r="M23" s="1"/>
    </row>
    <row r="24" spans="1:13" ht="15" customHeight="1">
      <c r="A24" s="34" t="s">
        <v>212</v>
      </c>
      <c r="B24" s="43" t="s">
        <v>213</v>
      </c>
      <c r="C24" s="44"/>
      <c r="D24" s="44">
        <v>200.75</v>
      </c>
      <c r="E24" s="44"/>
      <c r="F24" s="44">
        <v>367465.83</v>
      </c>
      <c r="G24" s="44"/>
      <c r="H24" s="44"/>
      <c r="I24" s="25">
        <f>C24-D24+K24</f>
        <v>-200.75</v>
      </c>
      <c r="J24" s="44"/>
      <c r="K24" s="44"/>
      <c r="L24" s="25"/>
      <c r="M24" s="1"/>
    </row>
    <row r="25" spans="1:13" ht="15" customHeight="1">
      <c r="A25" s="22" t="s">
        <v>214</v>
      </c>
      <c r="B25" s="42" t="s">
        <v>215</v>
      </c>
      <c r="C25" s="23"/>
      <c r="D25" s="23">
        <v>10768.42</v>
      </c>
      <c r="E25" s="23"/>
      <c r="F25" s="23">
        <v>5237556.94</v>
      </c>
      <c r="G25" s="23"/>
      <c r="H25" s="23"/>
      <c r="I25" s="25">
        <f>C25-D25+K25</f>
        <v>-10768.42</v>
      </c>
      <c r="J25" s="23"/>
      <c r="K25" s="23"/>
      <c r="L25" s="24"/>
      <c r="M25" s="1">
        <f>2674398.75</f>
        <v>2674398.75</v>
      </c>
    </row>
    <row r="26" spans="1:13" ht="15.75" customHeight="1">
      <c r="A26" s="22" t="s">
        <v>216</v>
      </c>
      <c r="B26" s="42" t="s">
        <v>182</v>
      </c>
      <c r="C26" s="23"/>
      <c r="D26" s="23">
        <v>61534.23</v>
      </c>
      <c r="E26" s="23"/>
      <c r="F26" s="23">
        <v>7190278.92</v>
      </c>
      <c r="G26" s="23"/>
      <c r="H26" s="23"/>
      <c r="I26" s="25">
        <f>C26-D26+K26</f>
        <v>-61534.23</v>
      </c>
      <c r="J26" s="23"/>
      <c r="K26" s="23"/>
      <c r="L26" s="24"/>
      <c r="M26" s="1"/>
    </row>
    <row r="27" spans="1:13" ht="15" customHeight="1">
      <c r="A27" s="22" t="s">
        <v>217</v>
      </c>
      <c r="B27" s="42" t="s">
        <v>218</v>
      </c>
      <c r="C27" s="23"/>
      <c r="D27" s="23">
        <v>2302.66</v>
      </c>
      <c r="E27" s="23"/>
      <c r="F27" s="23">
        <v>5776605.75</v>
      </c>
      <c r="G27" s="23"/>
      <c r="H27" s="23"/>
      <c r="I27" s="25">
        <f>C27-D27+K27</f>
        <v>-2302.66</v>
      </c>
      <c r="J27" s="23"/>
      <c r="K27" s="23"/>
      <c r="L27" s="48"/>
      <c r="M27" s="1"/>
    </row>
    <row r="28" spans="1:13" ht="15" customHeight="1" thickBot="1">
      <c r="A28" s="34" t="s">
        <v>219</v>
      </c>
      <c r="B28" s="43" t="s">
        <v>220</v>
      </c>
      <c r="C28" s="44"/>
      <c r="D28" s="44">
        <v>9182.07</v>
      </c>
      <c r="E28" s="44"/>
      <c r="F28" s="44">
        <v>1170001.01</v>
      </c>
      <c r="G28" s="44"/>
      <c r="H28" s="44"/>
      <c r="I28" s="25">
        <f>C28-D28+K28</f>
        <v>-9182.07</v>
      </c>
      <c r="J28" s="44"/>
      <c r="K28" s="44"/>
      <c r="L28" s="24"/>
      <c r="M28" s="1">
        <f>16848</f>
        <v>16848</v>
      </c>
    </row>
    <row r="29" spans="1:13" s="15" customFormat="1" ht="19.5" customHeight="1" thickBot="1">
      <c r="A29" s="45"/>
      <c r="B29" s="46" t="s">
        <v>221</v>
      </c>
      <c r="C29" s="47">
        <f aca="true" t="shared" si="2" ref="C29:L29">SUM(C24:C28)</f>
        <v>0</v>
      </c>
      <c r="D29" s="47">
        <f t="shared" si="2"/>
        <v>83988.13</v>
      </c>
      <c r="E29" s="47">
        <f t="shared" si="2"/>
        <v>0</v>
      </c>
      <c r="F29" s="47">
        <f t="shared" si="2"/>
        <v>19741908.450000003</v>
      </c>
      <c r="G29" s="47">
        <f t="shared" si="2"/>
        <v>0</v>
      </c>
      <c r="H29" s="47">
        <f t="shared" si="2"/>
        <v>0</v>
      </c>
      <c r="I29" s="47">
        <f t="shared" si="2"/>
        <v>-83988.13</v>
      </c>
      <c r="J29" s="47">
        <f t="shared" si="2"/>
        <v>0</v>
      </c>
      <c r="K29" s="47">
        <f t="shared" si="2"/>
        <v>0</v>
      </c>
      <c r="L29" s="47">
        <f t="shared" si="2"/>
        <v>0</v>
      </c>
      <c r="M29" s="268"/>
    </row>
    <row r="30" spans="1:13" ht="15" customHeight="1">
      <c r="A30" s="13"/>
      <c r="B30" s="13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1"/>
    </row>
    <row r="31" spans="1:13" s="15" customFormat="1" ht="22.5" customHeight="1">
      <c r="A31" s="938" t="s">
        <v>222</v>
      </c>
      <c r="B31" s="938"/>
      <c r="C31" s="51">
        <f aca="true" t="shared" si="3" ref="C31:L31">C22+C29</f>
        <v>0</v>
      </c>
      <c r="D31" s="51">
        <f>D22+D29</f>
        <v>380284.99</v>
      </c>
      <c r="E31" s="51">
        <f t="shared" si="3"/>
        <v>0</v>
      </c>
      <c r="F31" s="51">
        <f t="shared" si="3"/>
        <v>46225094.38</v>
      </c>
      <c r="G31" s="51">
        <f t="shared" si="3"/>
        <v>0</v>
      </c>
      <c r="H31" s="51">
        <f t="shared" si="3"/>
        <v>0</v>
      </c>
      <c r="I31" s="51">
        <f t="shared" si="3"/>
        <v>-380284.99</v>
      </c>
      <c r="J31" s="51">
        <f t="shared" si="3"/>
        <v>16862.010000000002</v>
      </c>
      <c r="K31" s="51">
        <f t="shared" si="3"/>
        <v>0</v>
      </c>
      <c r="L31" s="51">
        <f t="shared" si="3"/>
        <v>0</v>
      </c>
      <c r="M31" s="268"/>
    </row>
    <row r="32" spans="3:13" ht="15" customHeight="1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"/>
    </row>
    <row r="33" spans="1:13" ht="15" customHeight="1">
      <c r="A33" s="22" t="s">
        <v>223</v>
      </c>
      <c r="B33" s="42" t="s">
        <v>183</v>
      </c>
      <c r="C33" s="23"/>
      <c r="D33" s="23">
        <f>67487093.3+5135.06-1000+30512</f>
        <v>67521740.36</v>
      </c>
      <c r="E33" s="23"/>
      <c r="F33" s="23">
        <f>17968396.04-6525</f>
        <v>17961871.04</v>
      </c>
      <c r="G33" s="23"/>
      <c r="H33" s="23"/>
      <c r="I33" s="23">
        <f>C33-D33+K33</f>
        <v>-67521740.36</v>
      </c>
      <c r="J33" s="23"/>
      <c r="K33" s="23"/>
      <c r="L33" s="23"/>
      <c r="M33" s="1"/>
    </row>
    <row r="34" spans="1:13" s="16" customFormat="1" ht="15" customHeight="1">
      <c r="A34" s="9"/>
      <c r="B34" s="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69"/>
    </row>
    <row r="35" spans="3:13" ht="15" customHeight="1" thickBot="1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1"/>
    </row>
    <row r="36" spans="1:13" ht="23.25" customHeight="1" thickBot="1">
      <c r="A36" s="52" t="s">
        <v>224</v>
      </c>
      <c r="B36" s="53"/>
      <c r="C36" s="47">
        <f aca="true" t="shared" si="4" ref="C36:L36">C31+C33</f>
        <v>0</v>
      </c>
      <c r="D36" s="47">
        <f t="shared" si="4"/>
        <v>67902025.35</v>
      </c>
      <c r="E36" s="47">
        <f t="shared" si="4"/>
        <v>0</v>
      </c>
      <c r="F36" s="47">
        <f t="shared" si="4"/>
        <v>64186965.42</v>
      </c>
      <c r="G36" s="47">
        <f t="shared" si="4"/>
        <v>0</v>
      </c>
      <c r="H36" s="47">
        <f t="shared" si="4"/>
        <v>0</v>
      </c>
      <c r="I36" s="47">
        <f t="shared" si="4"/>
        <v>-67902025.35</v>
      </c>
      <c r="J36" s="47">
        <f t="shared" si="4"/>
        <v>16862.010000000002</v>
      </c>
      <c r="K36" s="47">
        <f t="shared" si="4"/>
        <v>0</v>
      </c>
      <c r="L36" s="47">
        <f t="shared" si="4"/>
        <v>0</v>
      </c>
      <c r="M36" s="1"/>
    </row>
    <row r="37" spans="3:6" ht="15" customHeight="1">
      <c r="C37" s="50"/>
      <c r="D37" s="50"/>
      <c r="E37" s="50"/>
      <c r="F37" s="50"/>
    </row>
    <row r="38" spans="3:7" ht="15" customHeight="1">
      <c r="C38" s="50"/>
      <c r="D38" s="50"/>
      <c r="E38" s="50"/>
      <c r="F38" s="50"/>
      <c r="G38" s="1"/>
    </row>
    <row r="39" spans="3:6" ht="15" customHeight="1">
      <c r="C39" s="50"/>
      <c r="D39" s="50"/>
      <c r="E39" s="50"/>
      <c r="F39" s="50"/>
    </row>
    <row r="40" spans="3:6" ht="15" customHeight="1">
      <c r="C40" s="50"/>
      <c r="D40" s="50"/>
      <c r="E40" s="50"/>
      <c r="F40" s="50"/>
    </row>
    <row r="41" spans="5:7" ht="15" customHeight="1">
      <c r="E41" s="3" t="s">
        <v>225</v>
      </c>
      <c r="F41" s="10"/>
      <c r="G41" s="1"/>
    </row>
    <row r="42" spans="3:9" ht="15" customHeight="1">
      <c r="C42" s="50"/>
      <c r="D42" s="50"/>
      <c r="E42" s="50"/>
      <c r="F42" s="50"/>
      <c r="G42" s="50"/>
      <c r="H42" s="50"/>
      <c r="I42" s="50"/>
    </row>
    <row r="43" spans="3:9" ht="15" customHeight="1">
      <c r="C43" s="50"/>
      <c r="D43" s="50"/>
      <c r="E43" s="50"/>
      <c r="F43" s="50"/>
      <c r="G43" s="50"/>
      <c r="H43" s="50"/>
      <c r="I43" s="50"/>
    </row>
    <row r="44" spans="1:9" s="16" customFormat="1" ht="15" customHeight="1">
      <c r="A44" s="9"/>
      <c r="B44" s="9"/>
      <c r="C44" s="50"/>
      <c r="D44" s="50"/>
      <c r="E44" s="50"/>
      <c r="F44" s="50"/>
      <c r="G44" s="54"/>
      <c r="H44" s="54"/>
      <c r="I44" s="54"/>
    </row>
    <row r="45" spans="1:9" s="18" customFormat="1" ht="15" customHeight="1">
      <c r="A45" s="19"/>
      <c r="B45" s="19"/>
      <c r="C45" s="5"/>
      <c r="D45" s="5"/>
      <c r="E45" s="5"/>
      <c r="F45" s="5"/>
      <c r="G45" s="55"/>
      <c r="H45" s="55"/>
      <c r="I45" s="55"/>
    </row>
    <row r="46" spans="3:9" ht="15" customHeight="1">
      <c r="C46" s="50"/>
      <c r="D46" s="50"/>
      <c r="E46" s="50"/>
      <c r="F46" s="50"/>
      <c r="G46" s="50"/>
      <c r="H46" s="50"/>
      <c r="I46" s="50"/>
    </row>
    <row r="49" spans="1:6" s="18" customFormat="1" ht="15" customHeight="1">
      <c r="A49" s="14"/>
      <c r="B49" s="14"/>
      <c r="C49" s="56"/>
      <c r="D49" s="56"/>
      <c r="E49" s="56"/>
      <c r="F49" s="56"/>
    </row>
    <row r="56" spans="1:6" s="18" customFormat="1" ht="15" customHeight="1">
      <c r="A56" s="14"/>
      <c r="B56" s="14"/>
      <c r="C56" s="56"/>
      <c r="D56" s="56"/>
      <c r="E56" s="56"/>
      <c r="F56" s="56"/>
    </row>
    <row r="76" spans="1:6" s="17" customFormat="1" ht="15" customHeight="1">
      <c r="A76" s="19"/>
      <c r="B76" s="19"/>
      <c r="C76" s="4"/>
      <c r="D76" s="4"/>
      <c r="E76" s="4"/>
      <c r="F76" s="4"/>
    </row>
    <row r="83" spans="1:6" s="18" customFormat="1" ht="15" customHeight="1">
      <c r="A83" s="14"/>
      <c r="B83" s="14"/>
      <c r="C83" s="56"/>
      <c r="D83" s="56"/>
      <c r="E83" s="56"/>
      <c r="F83" s="56"/>
    </row>
    <row r="90" spans="1:6" s="16" customFormat="1" ht="15" customHeight="1">
      <c r="A90" s="21"/>
      <c r="B90" s="21"/>
      <c r="C90" s="31"/>
      <c r="D90" s="31"/>
      <c r="E90" s="31"/>
      <c r="F90" s="31"/>
    </row>
    <row r="91" spans="1:6" s="17" customFormat="1" ht="15" customHeight="1">
      <c r="A91" s="19"/>
      <c r="B91" s="19"/>
      <c r="C91" s="4"/>
      <c r="D91" s="4"/>
      <c r="E91" s="4"/>
      <c r="F91" s="4"/>
    </row>
    <row r="95" spans="1:6" s="16" customFormat="1" ht="15" customHeight="1">
      <c r="A95" s="21"/>
      <c r="B95" s="21"/>
      <c r="C95" s="31"/>
      <c r="D95" s="31"/>
      <c r="E95" s="31"/>
      <c r="F95" s="31"/>
    </row>
    <row r="96" spans="1:6" s="18" customFormat="1" ht="15" customHeight="1">
      <c r="A96" s="14"/>
      <c r="B96" s="14"/>
      <c r="C96" s="56"/>
      <c r="D96" s="56"/>
      <c r="E96" s="56"/>
      <c r="F96" s="56"/>
    </row>
    <row r="97" spans="3:6" ht="15" customHeight="1">
      <c r="C97" s="4"/>
      <c r="D97" s="4"/>
      <c r="E97" s="4"/>
      <c r="F97" s="4"/>
    </row>
    <row r="100" spans="1:6" s="17" customFormat="1" ht="15" customHeight="1">
      <c r="A100" s="19"/>
      <c r="B100" s="19"/>
      <c r="C100" s="4"/>
      <c r="D100" s="4"/>
      <c r="E100" s="4"/>
      <c r="F100" s="4"/>
    </row>
    <row r="101" spans="1:6" s="17" customFormat="1" ht="15" customHeight="1">
      <c r="A101" s="19"/>
      <c r="B101" s="19"/>
      <c r="C101" s="4"/>
      <c r="D101" s="4"/>
      <c r="E101" s="4"/>
      <c r="F101" s="4"/>
    </row>
    <row r="104" spans="1:6" s="16" customFormat="1" ht="15" customHeight="1">
      <c r="A104" s="21"/>
      <c r="B104" s="21"/>
      <c r="C104" s="31"/>
      <c r="D104" s="31"/>
      <c r="E104" s="31"/>
      <c r="F104" s="31"/>
    </row>
    <row r="105" spans="1:6" s="18" customFormat="1" ht="15" customHeight="1">
      <c r="A105" s="14"/>
      <c r="B105" s="14"/>
      <c r="C105" s="3"/>
      <c r="D105" s="3"/>
      <c r="E105" s="3"/>
      <c r="F105" s="3"/>
    </row>
    <row r="106" spans="1:6" s="59" customFormat="1" ht="15" customHeight="1">
      <c r="A106" s="57"/>
      <c r="B106" s="57"/>
      <c r="C106" s="58"/>
      <c r="D106" s="58"/>
      <c r="E106" s="58"/>
      <c r="F106" s="58"/>
    </row>
    <row r="110" spans="1:6" s="16" customFormat="1" ht="15" customHeight="1">
      <c r="A110" s="21"/>
      <c r="B110" s="21"/>
      <c r="C110" s="31"/>
      <c r="D110" s="31"/>
      <c r="E110" s="31"/>
      <c r="F110" s="31"/>
    </row>
    <row r="111" spans="1:6" s="17" customFormat="1" ht="15" customHeight="1">
      <c r="A111" s="19"/>
      <c r="B111" s="19"/>
      <c r="C111" s="4"/>
      <c r="D111" s="4"/>
      <c r="E111" s="4"/>
      <c r="F111" s="4"/>
    </row>
    <row r="125" spans="1:6" s="17" customFormat="1" ht="15" customHeight="1">
      <c r="A125" s="19"/>
      <c r="B125" s="19"/>
      <c r="C125" s="4"/>
      <c r="D125" s="4"/>
      <c r="E125" s="4"/>
      <c r="F125" s="4"/>
    </row>
    <row r="137" spans="1:6" s="17" customFormat="1" ht="15" customHeight="1">
      <c r="A137" s="19"/>
      <c r="B137" s="19"/>
      <c r="C137" s="4"/>
      <c r="D137" s="4"/>
      <c r="E137" s="4"/>
      <c r="F137" s="4"/>
    </row>
    <row r="153" spans="1:6" s="17" customFormat="1" ht="15" customHeight="1">
      <c r="A153" s="19"/>
      <c r="B153" s="19"/>
      <c r="C153" s="4"/>
      <c r="D153" s="4"/>
      <c r="E153" s="4"/>
      <c r="F153" s="4"/>
    </row>
    <row r="164" spans="1:6" s="17" customFormat="1" ht="15" customHeight="1">
      <c r="A164" s="19"/>
      <c r="B164" s="19"/>
      <c r="C164" s="4"/>
      <c r="D164" s="4"/>
      <c r="E164" s="4"/>
      <c r="F164" s="4"/>
    </row>
    <row r="183" spans="1:6" s="17" customFormat="1" ht="15" customHeight="1">
      <c r="A183" s="19"/>
      <c r="B183" s="19"/>
      <c r="C183" s="4"/>
      <c r="D183" s="4"/>
      <c r="E183" s="4"/>
      <c r="F183" s="4"/>
    </row>
    <row r="194" spans="1:6" s="17" customFormat="1" ht="15" customHeight="1">
      <c r="A194" s="19"/>
      <c r="B194" s="19"/>
      <c r="C194" s="4"/>
      <c r="D194" s="4"/>
      <c r="E194" s="4"/>
      <c r="F194" s="4"/>
    </row>
    <row r="196" spans="1:6" s="17" customFormat="1" ht="15" customHeight="1">
      <c r="A196" s="19"/>
      <c r="B196" s="19"/>
      <c r="C196" s="4"/>
      <c r="D196" s="4"/>
      <c r="E196" s="4"/>
      <c r="F196" s="4"/>
    </row>
    <row r="200" spans="1:6" s="16" customFormat="1" ht="15" customHeight="1">
      <c r="A200" s="21"/>
      <c r="B200" s="21"/>
      <c r="C200" s="31"/>
      <c r="D200" s="31"/>
      <c r="E200" s="31"/>
      <c r="F200" s="31"/>
    </row>
    <row r="201" spans="1:6" s="18" customFormat="1" ht="15" customHeight="1">
      <c r="A201" s="14"/>
      <c r="B201" s="14"/>
      <c r="C201" s="56"/>
      <c r="D201" s="56"/>
      <c r="E201" s="56"/>
      <c r="F201" s="56"/>
    </row>
    <row r="211" spans="1:6" s="17" customFormat="1" ht="15" customHeight="1">
      <c r="A211" s="19"/>
      <c r="B211" s="19"/>
      <c r="C211" s="4"/>
      <c r="D211" s="4"/>
      <c r="E211" s="4"/>
      <c r="F211" s="4"/>
    </row>
    <row r="215" spans="1:6" s="16" customFormat="1" ht="15" customHeight="1">
      <c r="A215" s="21"/>
      <c r="B215" s="21"/>
      <c r="C215" s="31"/>
      <c r="D215" s="31"/>
      <c r="E215" s="31"/>
      <c r="F215" s="31"/>
    </row>
    <row r="216" spans="1:6" s="17" customFormat="1" ht="15" customHeight="1">
      <c r="A216" s="19"/>
      <c r="B216" s="19"/>
      <c r="C216" s="4"/>
      <c r="D216" s="4"/>
      <c r="E216" s="4"/>
      <c r="F216" s="4"/>
    </row>
    <row r="219" spans="1:6" s="16" customFormat="1" ht="15" customHeight="1">
      <c r="A219" s="21"/>
      <c r="B219" s="19"/>
      <c r="C219" s="4"/>
      <c r="D219" s="4"/>
      <c r="E219" s="4"/>
      <c r="F219" s="4"/>
    </row>
    <row r="224" spans="1:6" s="18" customFormat="1" ht="15" customHeight="1">
      <c r="A224" s="14"/>
      <c r="B224" s="14"/>
      <c r="C224" s="56"/>
      <c r="D224" s="56"/>
      <c r="E224" s="56"/>
      <c r="F224" s="56"/>
    </row>
    <row r="225" spans="1:6" s="18" customFormat="1" ht="15" customHeight="1">
      <c r="A225" s="9"/>
      <c r="B225" s="9"/>
      <c r="C225" s="3"/>
      <c r="D225" s="3"/>
      <c r="E225" s="3"/>
      <c r="F225" s="3"/>
    </row>
    <row r="226" spans="1:6" s="18" customFormat="1" ht="15" customHeight="1">
      <c r="A226" s="9"/>
      <c r="B226" s="9"/>
      <c r="C226" s="3"/>
      <c r="D226" s="3"/>
      <c r="E226" s="3"/>
      <c r="F226" s="3"/>
    </row>
    <row r="227" spans="1:6" s="18" customFormat="1" ht="15" customHeight="1">
      <c r="A227" s="9"/>
      <c r="B227" s="9"/>
      <c r="C227" s="3"/>
      <c r="D227" s="3"/>
      <c r="E227" s="3"/>
      <c r="F227" s="3"/>
    </row>
    <row r="233" spans="1:6" s="17" customFormat="1" ht="15" customHeight="1">
      <c r="A233" s="19"/>
      <c r="B233" s="19"/>
      <c r="C233" s="4"/>
      <c r="D233" s="4"/>
      <c r="E233" s="4"/>
      <c r="F233" s="4"/>
    </row>
    <row r="234" spans="1:6" s="17" customFormat="1" ht="15" customHeight="1">
      <c r="A234" s="19"/>
      <c r="B234" s="19"/>
      <c r="C234" s="4"/>
      <c r="D234" s="4"/>
      <c r="E234" s="4"/>
      <c r="F234" s="4"/>
    </row>
    <row r="235" spans="1:6" s="17" customFormat="1" ht="15" customHeight="1">
      <c r="A235" s="19"/>
      <c r="B235" s="19"/>
      <c r="C235" s="3"/>
      <c r="D235" s="3"/>
      <c r="E235" s="3"/>
      <c r="F235" s="3"/>
    </row>
    <row r="236" spans="1:6" s="17" customFormat="1" ht="15" customHeight="1">
      <c r="A236" s="19"/>
      <c r="B236" s="19"/>
      <c r="C236" s="3"/>
      <c r="D236" s="3"/>
      <c r="E236" s="3"/>
      <c r="F236" s="3"/>
    </row>
    <row r="237" spans="1:6" s="17" customFormat="1" ht="15" customHeight="1">
      <c r="A237" s="19"/>
      <c r="B237" s="19"/>
      <c r="C237" s="4"/>
      <c r="D237" s="4"/>
      <c r="E237" s="4"/>
      <c r="F237" s="4"/>
    </row>
    <row r="239" spans="1:6" s="17" customFormat="1" ht="15" customHeight="1">
      <c r="A239" s="19"/>
      <c r="B239" s="19"/>
      <c r="C239" s="4"/>
      <c r="D239" s="4"/>
      <c r="E239" s="4"/>
      <c r="F239" s="4"/>
    </row>
    <row r="245" spans="1:6" s="16" customFormat="1" ht="15" customHeight="1">
      <c r="A245" s="21"/>
      <c r="B245" s="21"/>
      <c r="C245" s="31"/>
      <c r="D245" s="31"/>
      <c r="E245" s="31"/>
      <c r="F245" s="31"/>
    </row>
    <row r="246" spans="1:6" s="17" customFormat="1" ht="15" customHeight="1">
      <c r="A246" s="19"/>
      <c r="B246" s="19"/>
      <c r="C246" s="4"/>
      <c r="D246" s="4"/>
      <c r="E246" s="4"/>
      <c r="F246" s="4"/>
    </row>
    <row r="247" spans="1:6" s="17" customFormat="1" ht="15" customHeight="1">
      <c r="A247" s="19"/>
      <c r="B247" s="19"/>
      <c r="C247" s="3"/>
      <c r="D247" s="3"/>
      <c r="E247" s="3"/>
      <c r="F247" s="3"/>
    </row>
    <row r="248" spans="1:6" s="17" customFormat="1" ht="15" customHeight="1">
      <c r="A248" s="19"/>
      <c r="B248" s="19"/>
      <c r="C248" s="3"/>
      <c r="D248" s="3"/>
      <c r="E248" s="3"/>
      <c r="F248" s="3"/>
    </row>
    <row r="249" spans="1:6" s="17" customFormat="1" ht="15" customHeight="1">
      <c r="A249" s="19"/>
      <c r="B249" s="19"/>
      <c r="C249" s="3"/>
      <c r="D249" s="3"/>
      <c r="E249" s="3"/>
      <c r="F249" s="3"/>
    </row>
    <row r="250" spans="1:6" s="17" customFormat="1" ht="15" customHeight="1">
      <c r="A250" s="19"/>
      <c r="B250" s="19"/>
      <c r="C250" s="3"/>
      <c r="D250" s="3"/>
      <c r="E250" s="3"/>
      <c r="F250" s="3"/>
    </row>
    <row r="251" spans="1:6" s="17" customFormat="1" ht="15" customHeight="1">
      <c r="A251" s="19"/>
      <c r="B251" s="19"/>
      <c r="C251" s="3"/>
      <c r="D251" s="3"/>
      <c r="E251" s="3"/>
      <c r="F251" s="3"/>
    </row>
    <row r="262" spans="1:6" s="17" customFormat="1" ht="15" customHeight="1">
      <c r="A262" s="19"/>
      <c r="B262" s="19"/>
      <c r="C262" s="4"/>
      <c r="D262" s="4"/>
      <c r="E262" s="4"/>
      <c r="F262" s="4"/>
    </row>
    <row r="277" spans="1:6" s="18" customFormat="1" ht="15" customHeight="1">
      <c r="A277" s="14"/>
      <c r="B277" s="14"/>
      <c r="C277" s="56"/>
      <c r="D277" s="56"/>
      <c r="E277" s="56"/>
      <c r="F277" s="56"/>
    </row>
    <row r="278" spans="1:6" s="59" customFormat="1" ht="15" customHeight="1">
      <c r="A278" s="57"/>
      <c r="B278" s="57"/>
      <c r="C278" s="3"/>
      <c r="D278" s="3"/>
      <c r="E278" s="3"/>
      <c r="F278" s="3"/>
    </row>
    <row r="279" spans="1:6" s="18" customFormat="1" ht="15" customHeight="1">
      <c r="A279" s="14"/>
      <c r="B279" s="14"/>
      <c r="C279" s="3"/>
      <c r="D279" s="3"/>
      <c r="E279" s="3"/>
      <c r="F279" s="3"/>
    </row>
    <row r="280" spans="1:6" s="18" customFormat="1" ht="15" customHeight="1">
      <c r="A280" s="14"/>
      <c r="B280" s="14"/>
      <c r="C280" s="3"/>
      <c r="D280" s="3"/>
      <c r="E280" s="3"/>
      <c r="F280" s="3"/>
    </row>
    <row r="281" spans="1:6" s="18" customFormat="1" ht="15" customHeight="1">
      <c r="A281" s="14"/>
      <c r="B281" s="14"/>
      <c r="C281" s="3"/>
      <c r="D281" s="3"/>
      <c r="E281" s="3"/>
      <c r="F281" s="3"/>
    </row>
    <row r="282" spans="1:6" s="18" customFormat="1" ht="15" customHeight="1">
      <c r="A282" s="14"/>
      <c r="B282" s="14"/>
      <c r="C282" s="3"/>
      <c r="D282" s="3"/>
      <c r="E282" s="3"/>
      <c r="F282" s="3"/>
    </row>
    <row r="283" spans="1:6" s="59" customFormat="1" ht="15" customHeight="1">
      <c r="A283" s="57"/>
      <c r="B283" s="57"/>
      <c r="C283" s="3"/>
      <c r="D283" s="3"/>
      <c r="E283" s="3"/>
      <c r="F283" s="3"/>
    </row>
    <row r="290" spans="1:6" s="17" customFormat="1" ht="15" customHeight="1">
      <c r="A290" s="19"/>
      <c r="B290" s="19"/>
      <c r="C290" s="4"/>
      <c r="D290" s="4"/>
      <c r="E290" s="4"/>
      <c r="F290" s="4"/>
    </row>
    <row r="292" spans="1:6" s="17" customFormat="1" ht="15" customHeight="1">
      <c r="A292" s="19"/>
      <c r="B292" s="19"/>
      <c r="C292" s="4"/>
      <c r="D292" s="4"/>
      <c r="E292" s="4"/>
      <c r="F292" s="4"/>
    </row>
    <row r="298" spans="1:6" s="17" customFormat="1" ht="15" customHeight="1">
      <c r="A298" s="19"/>
      <c r="B298" s="19"/>
      <c r="C298" s="4"/>
      <c r="D298" s="4"/>
      <c r="E298" s="4"/>
      <c r="F298" s="4"/>
    </row>
    <row r="300" spans="1:6" s="17" customFormat="1" ht="15" customHeight="1">
      <c r="A300" s="19"/>
      <c r="B300" s="19"/>
      <c r="C300" s="4"/>
      <c r="D300" s="4"/>
      <c r="E300" s="4"/>
      <c r="F300" s="4"/>
    </row>
    <row r="303" ht="15" customHeight="1">
      <c r="A303" s="21"/>
    </row>
    <row r="304" spans="1:6" s="17" customFormat="1" ht="15" customHeight="1">
      <c r="A304" s="19"/>
      <c r="B304" s="19"/>
      <c r="C304" s="4"/>
      <c r="D304" s="4"/>
      <c r="E304" s="4"/>
      <c r="F304" s="4"/>
    </row>
    <row r="310" spans="1:6" s="17" customFormat="1" ht="15" customHeight="1">
      <c r="A310" s="19"/>
      <c r="B310" s="19"/>
      <c r="C310" s="4"/>
      <c r="D310" s="4"/>
      <c r="E310" s="4"/>
      <c r="F310" s="4"/>
    </row>
    <row r="311" spans="2:6" ht="15" customHeight="1">
      <c r="B311" s="19"/>
      <c r="C311" s="58"/>
      <c r="D311" s="58"/>
      <c r="E311" s="58"/>
      <c r="F311" s="58"/>
    </row>
    <row r="313" ht="15" customHeight="1">
      <c r="A313" s="21"/>
    </row>
    <row r="314" ht="15" customHeight="1">
      <c r="B314" s="19"/>
    </row>
    <row r="315" ht="15" customHeight="1">
      <c r="B315" s="19"/>
    </row>
    <row r="316" ht="15" customHeight="1">
      <c r="B316" s="19"/>
    </row>
    <row r="317" spans="1:6" s="17" customFormat="1" ht="15" customHeight="1">
      <c r="A317" s="19"/>
      <c r="B317" s="19"/>
      <c r="C317" s="4"/>
      <c r="D317" s="4"/>
      <c r="E317" s="4"/>
      <c r="F317" s="4"/>
    </row>
    <row r="318" ht="15" customHeight="1">
      <c r="B318" s="19"/>
    </row>
    <row r="322" spans="1:6" s="6" customFormat="1" ht="15" customHeight="1">
      <c r="A322" s="11"/>
      <c r="B322" s="7"/>
      <c r="C322" s="8"/>
      <c r="D322" s="8"/>
      <c r="E322" s="8"/>
      <c r="F322" s="8"/>
    </row>
    <row r="323" spans="1:6" ht="15" customHeight="1">
      <c r="A323" s="19"/>
      <c r="C323" s="12"/>
      <c r="D323" s="12"/>
      <c r="E323" s="12"/>
      <c r="F323" s="12"/>
    </row>
    <row r="326" spans="1:6" s="16" customFormat="1" ht="15" customHeight="1">
      <c r="A326" s="21"/>
      <c r="B326" s="21"/>
      <c r="C326" s="31"/>
      <c r="D326" s="31"/>
      <c r="E326" s="31"/>
      <c r="F326" s="31"/>
    </row>
    <row r="327" spans="1:6" s="17" customFormat="1" ht="15" customHeight="1">
      <c r="A327" s="19"/>
      <c r="B327" s="19"/>
      <c r="C327" s="4"/>
      <c r="D327" s="4"/>
      <c r="E327" s="4"/>
      <c r="F327" s="4"/>
    </row>
    <row r="329" spans="1:6" s="18" customFormat="1" ht="15" customHeight="1">
      <c r="A329" s="14"/>
      <c r="B329" s="14"/>
      <c r="C329" s="56"/>
      <c r="D329" s="56"/>
      <c r="E329" s="56"/>
      <c r="F329" s="56"/>
    </row>
    <row r="339" spans="1:6" s="16" customFormat="1" ht="15" customHeight="1">
      <c r="A339" s="21"/>
      <c r="B339" s="21"/>
      <c r="C339" s="31"/>
      <c r="D339" s="31"/>
      <c r="E339" s="31"/>
      <c r="F339" s="31"/>
    </row>
    <row r="340" spans="1:6" s="17" customFormat="1" ht="15" customHeight="1">
      <c r="A340" s="19"/>
      <c r="B340" s="19"/>
      <c r="C340" s="4"/>
      <c r="D340" s="4"/>
      <c r="E340" s="4"/>
      <c r="F340" s="4"/>
    </row>
    <row r="343" spans="1:6" s="16" customFormat="1" ht="15" customHeight="1">
      <c r="A343" s="21"/>
      <c r="B343" s="21"/>
      <c r="C343" s="31"/>
      <c r="D343" s="31"/>
      <c r="E343" s="31"/>
      <c r="F343" s="31"/>
    </row>
    <row r="344" spans="1:6" s="17" customFormat="1" ht="15" customHeight="1">
      <c r="A344" s="19"/>
      <c r="B344" s="19"/>
      <c r="C344" s="4"/>
      <c r="D344" s="4"/>
      <c r="E344" s="4"/>
      <c r="F344" s="4"/>
    </row>
    <row r="347" spans="1:6" s="16" customFormat="1" ht="15" customHeight="1">
      <c r="A347" s="21"/>
      <c r="B347" s="21"/>
      <c r="C347" s="31"/>
      <c r="D347" s="31"/>
      <c r="E347" s="31"/>
      <c r="F347" s="31"/>
    </row>
    <row r="348" spans="1:6" s="18" customFormat="1" ht="15" customHeight="1">
      <c r="A348" s="14"/>
      <c r="B348" s="14"/>
      <c r="C348" s="56"/>
      <c r="D348" s="56"/>
      <c r="E348" s="56"/>
      <c r="F348" s="56"/>
    </row>
    <row r="353" spans="1:6" s="17" customFormat="1" ht="15" customHeight="1">
      <c r="A353" s="19"/>
      <c r="B353" s="19"/>
      <c r="C353" s="4"/>
      <c r="D353" s="4"/>
      <c r="E353" s="4"/>
      <c r="F353" s="4"/>
    </row>
    <row r="355" spans="1:6" s="17" customFormat="1" ht="15" customHeight="1">
      <c r="A355" s="19"/>
      <c r="B355" s="19"/>
      <c r="C355" s="4"/>
      <c r="D355" s="4"/>
      <c r="E355" s="4"/>
      <c r="F355" s="4"/>
    </row>
    <row r="357" spans="1:6" s="17" customFormat="1" ht="15" customHeight="1">
      <c r="A357" s="19"/>
      <c r="B357" s="19"/>
      <c r="C357" s="4"/>
      <c r="D357" s="4"/>
      <c r="E357" s="4"/>
      <c r="F357" s="4"/>
    </row>
    <row r="369" spans="1:6" s="16" customFormat="1" ht="15" customHeight="1">
      <c r="A369" s="21"/>
      <c r="B369" s="21"/>
      <c r="C369" s="31"/>
      <c r="D369" s="31"/>
      <c r="E369" s="31"/>
      <c r="F369" s="31"/>
    </row>
    <row r="370" spans="1:6" s="17" customFormat="1" ht="15" customHeight="1">
      <c r="A370" s="19"/>
      <c r="B370" s="19"/>
      <c r="C370" s="4"/>
      <c r="D370" s="4"/>
      <c r="E370" s="4"/>
      <c r="F370" s="4"/>
    </row>
    <row r="375" spans="1:6" s="17" customFormat="1" ht="15" customHeight="1">
      <c r="A375" s="19"/>
      <c r="B375" s="19"/>
      <c r="C375" s="4"/>
      <c r="D375" s="4"/>
      <c r="E375" s="4"/>
      <c r="F375" s="4"/>
    </row>
    <row r="381" spans="1:6" s="16" customFormat="1" ht="15" customHeight="1">
      <c r="A381" s="21"/>
      <c r="B381" s="21"/>
      <c r="C381" s="31"/>
      <c r="D381" s="31"/>
      <c r="E381" s="31"/>
      <c r="F381" s="31"/>
    </row>
    <row r="382" spans="1:6" s="17" customFormat="1" ht="15" customHeight="1">
      <c r="A382" s="19"/>
      <c r="B382" s="19"/>
      <c r="C382" s="4"/>
      <c r="D382" s="4"/>
      <c r="E382" s="4"/>
      <c r="F382" s="4"/>
    </row>
    <row r="404" spans="1:6" s="17" customFormat="1" ht="15" customHeight="1">
      <c r="A404" s="19"/>
      <c r="B404" s="19"/>
      <c r="C404" s="4"/>
      <c r="D404" s="4"/>
      <c r="E404" s="4"/>
      <c r="F404" s="4"/>
    </row>
    <row r="408" spans="1:6" s="16" customFormat="1" ht="15" customHeight="1">
      <c r="A408" s="21"/>
      <c r="B408" s="21"/>
      <c r="C408" s="31"/>
      <c r="D408" s="31"/>
      <c r="E408" s="31"/>
      <c r="F408" s="31"/>
    </row>
    <row r="409" spans="1:6" s="17" customFormat="1" ht="15" customHeight="1">
      <c r="A409" s="19"/>
      <c r="B409" s="19"/>
      <c r="C409" s="4"/>
      <c r="D409" s="4"/>
      <c r="E409" s="4"/>
      <c r="F409" s="4"/>
    </row>
    <row r="414" spans="1:6" s="16" customFormat="1" ht="15" customHeight="1">
      <c r="A414" s="21"/>
      <c r="B414" s="21"/>
      <c r="C414" s="31"/>
      <c r="D414" s="31"/>
      <c r="E414" s="31"/>
      <c r="F414" s="31"/>
    </row>
    <row r="415" spans="1:6" s="17" customFormat="1" ht="15" customHeight="1">
      <c r="A415" s="19"/>
      <c r="B415" s="19"/>
      <c r="C415" s="4"/>
      <c r="D415" s="4"/>
      <c r="E415" s="4"/>
      <c r="F415" s="4"/>
    </row>
    <row r="417" spans="1:6" s="18" customFormat="1" ht="15" customHeight="1">
      <c r="A417" s="14"/>
      <c r="B417" s="14"/>
      <c r="C417" s="56"/>
      <c r="D417" s="56"/>
      <c r="E417" s="56"/>
      <c r="F417" s="56"/>
    </row>
    <row r="422" spans="1:6" s="17" customFormat="1" ht="15" customHeight="1">
      <c r="A422" s="19"/>
      <c r="B422" s="19"/>
      <c r="C422" s="4"/>
      <c r="D422" s="4"/>
      <c r="E422" s="4"/>
      <c r="F422" s="4"/>
    </row>
    <row r="430" spans="1:6" s="17" customFormat="1" ht="15" customHeight="1">
      <c r="A430" s="19"/>
      <c r="B430" s="19"/>
      <c r="C430" s="4"/>
      <c r="D430" s="4"/>
      <c r="E430" s="4"/>
      <c r="F430" s="4"/>
    </row>
    <row r="443" spans="1:6" s="17" customFormat="1" ht="15" customHeight="1">
      <c r="A443" s="19"/>
      <c r="B443" s="19"/>
      <c r="C443" s="4"/>
      <c r="D443" s="4"/>
      <c r="E443" s="4"/>
      <c r="F443" s="4"/>
    </row>
    <row r="448" spans="1:6" s="60" customFormat="1" ht="15" customHeight="1">
      <c r="A448" s="20"/>
      <c r="B448" s="20"/>
      <c r="C448" s="30"/>
      <c r="D448" s="30"/>
      <c r="E448" s="30"/>
      <c r="F448" s="30"/>
    </row>
    <row r="449" spans="1:6" s="60" customFormat="1" ht="15" customHeight="1">
      <c r="A449" s="20"/>
      <c r="B449" s="20"/>
      <c r="C449" s="30"/>
      <c r="D449" s="30"/>
      <c r="E449" s="30"/>
      <c r="F449" s="30"/>
    </row>
    <row r="450" spans="1:6" s="60" customFormat="1" ht="15" customHeight="1">
      <c r="A450" s="20"/>
      <c r="B450" s="20"/>
      <c r="C450" s="30"/>
      <c r="D450" s="30"/>
      <c r="E450" s="30"/>
      <c r="F450" s="30"/>
    </row>
    <row r="456" spans="1:6" s="63" customFormat="1" ht="15" customHeight="1">
      <c r="A456" s="61"/>
      <c r="B456" s="61"/>
      <c r="C456" s="62"/>
      <c r="D456" s="62"/>
      <c r="E456" s="62"/>
      <c r="F456" s="62"/>
    </row>
    <row r="459" spans="1:6" s="16" customFormat="1" ht="15" customHeight="1">
      <c r="A459" s="21"/>
      <c r="B459" s="64"/>
      <c r="C459" s="31"/>
      <c r="D459" s="31"/>
      <c r="E459" s="31"/>
      <c r="F459" s="31"/>
    </row>
    <row r="460" spans="1:6" s="16" customFormat="1" ht="15" customHeight="1">
      <c r="A460" s="21"/>
      <c r="B460" s="21"/>
      <c r="C460" s="31"/>
      <c r="D460" s="31"/>
      <c r="E460" s="31"/>
      <c r="F460" s="31"/>
    </row>
    <row r="461" spans="1:6" s="16" customFormat="1" ht="15" customHeight="1">
      <c r="A461" s="21"/>
      <c r="B461" s="21"/>
      <c r="C461" s="31"/>
      <c r="D461" s="31"/>
      <c r="E461" s="31"/>
      <c r="F461" s="31"/>
    </row>
    <row r="463" spans="1:6" s="6" customFormat="1" ht="15" customHeight="1">
      <c r="A463" s="7"/>
      <c r="B463" s="7"/>
      <c r="C463" s="65"/>
      <c r="D463" s="65"/>
      <c r="E463" s="65"/>
      <c r="F463" s="65"/>
    </row>
    <row r="464" ht="15" customHeight="1">
      <c r="B464" s="2"/>
    </row>
    <row r="465" spans="1:6" s="60" customFormat="1" ht="15" customHeight="1">
      <c r="A465" s="20"/>
      <c r="B465" s="20"/>
      <c r="C465" s="30"/>
      <c r="D465" s="30"/>
      <c r="E465" s="30"/>
      <c r="F465" s="30"/>
    </row>
  </sheetData>
  <sheetProtection/>
  <mergeCells count="2">
    <mergeCell ref="A2:J2"/>
    <mergeCell ref="A31:B31"/>
  </mergeCells>
  <printOptions horizontalCentered="1"/>
  <pageMargins left="0.3937007874015748" right="0.35433070866141736" top="0.33" bottom="0.65" header="0.26" footer="0.5118110236220472"/>
  <pageSetup horizontalDpi="300" verticalDpi="300" orientation="portrait" paperSize="9" scale="80" r:id="rId1"/>
  <rowBreaks count="2" manualBreakCount="2">
    <brk id="214" max="255" man="1"/>
    <brk id="3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7">
      <pane ySplit="1830" topLeftCell="A26" activePane="bottomLeft" state="split"/>
      <selection pane="topLeft" activeCell="A4" sqref="A4"/>
      <selection pane="bottomLeft" activeCell="J52" sqref="J52"/>
    </sheetView>
  </sheetViews>
  <sheetFormatPr defaultColWidth="9.00390625" defaultRowHeight="12.75"/>
  <cols>
    <col min="1" max="1" width="8.75390625" style="149" customWidth="1"/>
    <col min="2" max="2" width="9.875" style="149" customWidth="1"/>
    <col min="3" max="3" width="10.875" style="149" customWidth="1"/>
    <col min="4" max="4" width="54.625" style="149" hidden="1" customWidth="1"/>
    <col min="5" max="5" width="12.625" style="149" customWidth="1"/>
    <col min="6" max="6" width="12.75390625" style="149" customWidth="1"/>
    <col min="7" max="7" width="7.25390625" style="149" customWidth="1"/>
    <col min="8" max="8" width="12.125" style="149" customWidth="1"/>
    <col min="9" max="9" width="10.25390625" style="149" customWidth="1"/>
    <col min="10" max="10" width="11.25390625" style="149" customWidth="1"/>
    <col min="11" max="12" width="10.375" style="149" customWidth="1"/>
    <col min="13" max="13" width="12.25390625" style="149" customWidth="1"/>
    <col min="14" max="14" width="12.00390625" style="149" customWidth="1"/>
    <col min="15" max="15" width="11.375" style="149" customWidth="1"/>
    <col min="16" max="16384" width="9.125" style="149" customWidth="1"/>
  </cols>
  <sheetData>
    <row r="1" spans="12:15" ht="12.75" customHeight="1">
      <c r="L1" s="513"/>
      <c r="M1" s="513"/>
      <c r="N1" s="513"/>
      <c r="O1" s="482" t="s">
        <v>112</v>
      </c>
    </row>
    <row r="2" spans="1:15" ht="20.25" customHeight="1">
      <c r="A2" s="788" t="s">
        <v>74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</row>
    <row r="3" spans="1:15" ht="20.25" customHeight="1">
      <c r="A3" s="788" t="s">
        <v>637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</row>
    <row r="4" spans="1:15" ht="18.75">
      <c r="A4" s="483"/>
      <c r="B4" s="483"/>
      <c r="C4" s="483"/>
      <c r="D4" s="483"/>
      <c r="E4" s="483"/>
      <c r="F4" s="483"/>
      <c r="K4" s="484"/>
      <c r="L4" s="484"/>
      <c r="M4" s="484"/>
      <c r="N4" s="484"/>
      <c r="O4" s="484"/>
    </row>
    <row r="5" spans="1:15" ht="15" customHeight="1">
      <c r="A5" s="485" t="s">
        <v>168</v>
      </c>
      <c r="B5" s="483"/>
      <c r="C5" s="483"/>
      <c r="D5" s="483"/>
      <c r="E5" s="483"/>
      <c r="F5" s="483"/>
      <c r="K5" s="484"/>
      <c r="L5" s="484"/>
      <c r="M5" s="484"/>
      <c r="N5" s="484"/>
      <c r="O5" s="484"/>
    </row>
    <row r="6" spans="1:15" ht="15.75" customHeight="1" thickBot="1">
      <c r="A6" s="486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</row>
    <row r="7" spans="1:15" ht="13.5" thickTop="1">
      <c r="A7" s="778" t="s">
        <v>131</v>
      </c>
      <c r="B7" s="781" t="s">
        <v>132</v>
      </c>
      <c r="C7" s="784" t="s">
        <v>119</v>
      </c>
      <c r="D7" s="487"/>
      <c r="E7" s="784" t="s">
        <v>121</v>
      </c>
      <c r="F7" s="784" t="s">
        <v>253</v>
      </c>
      <c r="G7" s="789" t="s">
        <v>13</v>
      </c>
      <c r="H7" s="792" t="s">
        <v>254</v>
      </c>
      <c r="I7" s="793"/>
      <c r="J7" s="793"/>
      <c r="K7" s="793"/>
      <c r="L7" s="793"/>
      <c r="M7" s="793"/>
      <c r="N7" s="793"/>
      <c r="O7" s="794"/>
    </row>
    <row r="8" spans="1:15" ht="22.5" customHeight="1">
      <c r="A8" s="779"/>
      <c r="B8" s="782"/>
      <c r="C8" s="785"/>
      <c r="D8" s="488"/>
      <c r="E8" s="785"/>
      <c r="F8" s="785"/>
      <c r="G8" s="790"/>
      <c r="H8" s="787" t="s">
        <v>255</v>
      </c>
      <c r="I8" s="787"/>
      <c r="J8" s="787"/>
      <c r="K8" s="787"/>
      <c r="L8" s="787" t="s">
        <v>256</v>
      </c>
      <c r="M8" s="787"/>
      <c r="N8" s="787"/>
      <c r="O8" s="795"/>
    </row>
    <row r="9" spans="1:15" ht="42.75" customHeight="1" thickBot="1">
      <c r="A9" s="780"/>
      <c r="B9" s="783"/>
      <c r="C9" s="786"/>
      <c r="D9" s="489" t="s">
        <v>257</v>
      </c>
      <c r="E9" s="786"/>
      <c r="F9" s="786"/>
      <c r="G9" s="791"/>
      <c r="H9" s="490" t="s">
        <v>258</v>
      </c>
      <c r="I9" s="490" t="s">
        <v>259</v>
      </c>
      <c r="J9" s="490" t="s">
        <v>260</v>
      </c>
      <c r="K9" s="490" t="s">
        <v>261</v>
      </c>
      <c r="L9" s="490" t="s">
        <v>271</v>
      </c>
      <c r="M9" s="491" t="s">
        <v>267</v>
      </c>
      <c r="N9" s="490" t="s">
        <v>266</v>
      </c>
      <c r="O9" s="492" t="s">
        <v>261</v>
      </c>
    </row>
    <row r="10" spans="1:15" s="150" customFormat="1" ht="16.5" customHeight="1" thickTop="1">
      <c r="A10" s="493" t="s">
        <v>31</v>
      </c>
      <c r="B10" s="493"/>
      <c r="C10" s="493"/>
      <c r="D10" s="494"/>
      <c r="E10" s="495">
        <f>E11</f>
        <v>22337</v>
      </c>
      <c r="F10" s="495">
        <f>F11</f>
        <v>22336.8</v>
      </c>
      <c r="G10" s="501">
        <f aca="true" t="shared" si="0" ref="G10:G15">F10/E10*100</f>
        <v>99.99910462461386</v>
      </c>
      <c r="H10" s="495">
        <f aca="true" t="shared" si="1" ref="H10:O10">H11</f>
        <v>0</v>
      </c>
      <c r="I10" s="495">
        <f t="shared" si="1"/>
        <v>0</v>
      </c>
      <c r="J10" s="495">
        <f t="shared" si="1"/>
        <v>22336.8</v>
      </c>
      <c r="K10" s="495">
        <f t="shared" si="1"/>
        <v>0</v>
      </c>
      <c r="L10" s="495">
        <f t="shared" si="1"/>
        <v>0</v>
      </c>
      <c r="M10" s="495">
        <f t="shared" si="1"/>
        <v>0</v>
      </c>
      <c r="N10" s="495">
        <f t="shared" si="1"/>
        <v>0</v>
      </c>
      <c r="O10" s="495">
        <f t="shared" si="1"/>
        <v>0</v>
      </c>
    </row>
    <row r="11" spans="1:15" s="150" customFormat="1" ht="16.5" customHeight="1">
      <c r="A11" s="496"/>
      <c r="B11" s="493" t="s">
        <v>71</v>
      </c>
      <c r="C11" s="493"/>
      <c r="D11" s="494"/>
      <c r="E11" s="495">
        <f>SUM(E12:E12)</f>
        <v>22337</v>
      </c>
      <c r="F11" s="495">
        <f>SUM(F12:F12)</f>
        <v>22336.8</v>
      </c>
      <c r="G11" s="495">
        <f t="shared" si="0"/>
        <v>99.99910462461386</v>
      </c>
      <c r="H11" s="495">
        <f aca="true" t="shared" si="2" ref="H11:O11">SUM(H12:H12)</f>
        <v>0</v>
      </c>
      <c r="I11" s="495">
        <f t="shared" si="2"/>
        <v>0</v>
      </c>
      <c r="J11" s="495">
        <f t="shared" si="2"/>
        <v>22336.8</v>
      </c>
      <c r="K11" s="495">
        <f t="shared" si="2"/>
        <v>0</v>
      </c>
      <c r="L11" s="495">
        <f t="shared" si="2"/>
        <v>0</v>
      </c>
      <c r="M11" s="495">
        <f t="shared" si="2"/>
        <v>0</v>
      </c>
      <c r="N11" s="495">
        <f t="shared" si="2"/>
        <v>0</v>
      </c>
      <c r="O11" s="495">
        <f t="shared" si="2"/>
        <v>0</v>
      </c>
    </row>
    <row r="12" spans="1:15" ht="16.5" customHeight="1">
      <c r="A12" s="497"/>
      <c r="B12" s="498"/>
      <c r="C12" s="499" t="s">
        <v>97</v>
      </c>
      <c r="D12" s="500"/>
      <c r="E12" s="501">
        <v>22337</v>
      </c>
      <c r="F12" s="501">
        <f>SUM(H12:O12)</f>
        <v>22336.8</v>
      </c>
      <c r="G12" s="501">
        <f t="shared" si="0"/>
        <v>99.99910462461386</v>
      </c>
      <c r="H12" s="501">
        <v>0</v>
      </c>
      <c r="I12" s="501">
        <v>0</v>
      </c>
      <c r="J12" s="501">
        <v>22336.8</v>
      </c>
      <c r="K12" s="501">
        <v>0</v>
      </c>
      <c r="L12" s="501">
        <v>0</v>
      </c>
      <c r="M12" s="501">
        <v>0</v>
      </c>
      <c r="N12" s="501">
        <v>0</v>
      </c>
      <c r="O12" s="501">
        <v>0</v>
      </c>
    </row>
    <row r="13" spans="1:15" s="150" customFormat="1" ht="16.5" customHeight="1">
      <c r="A13" s="493" t="s">
        <v>17</v>
      </c>
      <c r="B13" s="493"/>
      <c r="C13" s="493"/>
      <c r="D13" s="494"/>
      <c r="E13" s="495">
        <f>E14</f>
        <v>62000</v>
      </c>
      <c r="F13" s="495">
        <f>F14</f>
        <v>61998.27</v>
      </c>
      <c r="G13" s="495">
        <f t="shared" si="0"/>
        <v>99.99720967741935</v>
      </c>
      <c r="H13" s="495">
        <f aca="true" t="shared" si="3" ref="H13:O13">H14</f>
        <v>0</v>
      </c>
      <c r="I13" s="495">
        <f t="shared" si="3"/>
        <v>0</v>
      </c>
      <c r="J13" s="495">
        <f t="shared" si="3"/>
        <v>61998.27</v>
      </c>
      <c r="K13" s="495">
        <f t="shared" si="3"/>
        <v>0</v>
      </c>
      <c r="L13" s="495">
        <f t="shared" si="3"/>
        <v>0</v>
      </c>
      <c r="M13" s="495">
        <f t="shared" si="3"/>
        <v>0</v>
      </c>
      <c r="N13" s="495">
        <f t="shared" si="3"/>
        <v>0</v>
      </c>
      <c r="O13" s="495">
        <f t="shared" si="3"/>
        <v>0</v>
      </c>
    </row>
    <row r="14" spans="1:15" s="150" customFormat="1" ht="16.5" customHeight="1">
      <c r="A14" s="496"/>
      <c r="B14" s="493" t="s">
        <v>18</v>
      </c>
      <c r="C14" s="493"/>
      <c r="D14" s="494"/>
      <c r="E14" s="495">
        <f>SUM(E15:E15)</f>
        <v>62000</v>
      </c>
      <c r="F14" s="495">
        <f>SUM(F15:F15)</f>
        <v>61998.27</v>
      </c>
      <c r="G14" s="495">
        <f t="shared" si="0"/>
        <v>99.99720967741935</v>
      </c>
      <c r="H14" s="495">
        <f aca="true" t="shared" si="4" ref="H14:O14">SUM(H15:H15)</f>
        <v>0</v>
      </c>
      <c r="I14" s="495">
        <f t="shared" si="4"/>
        <v>0</v>
      </c>
      <c r="J14" s="495">
        <f t="shared" si="4"/>
        <v>61998.27</v>
      </c>
      <c r="K14" s="495">
        <f t="shared" si="4"/>
        <v>0</v>
      </c>
      <c r="L14" s="495">
        <f t="shared" si="4"/>
        <v>0</v>
      </c>
      <c r="M14" s="495">
        <f t="shared" si="4"/>
        <v>0</v>
      </c>
      <c r="N14" s="495">
        <f t="shared" si="4"/>
        <v>0</v>
      </c>
      <c r="O14" s="495">
        <f t="shared" si="4"/>
        <v>0</v>
      </c>
    </row>
    <row r="15" spans="1:15" ht="16.5" customHeight="1">
      <c r="A15" s="497"/>
      <c r="B15" s="498"/>
      <c r="C15" s="499" t="s">
        <v>97</v>
      </c>
      <c r="D15" s="500"/>
      <c r="E15" s="501">
        <v>62000</v>
      </c>
      <c r="F15" s="501">
        <f>SUM(H15:O15)</f>
        <v>61998.27</v>
      </c>
      <c r="G15" s="501">
        <f t="shared" si="0"/>
        <v>99.99720967741935</v>
      </c>
      <c r="H15" s="501">
        <v>0</v>
      </c>
      <c r="I15" s="501">
        <v>0</v>
      </c>
      <c r="J15" s="501">
        <v>61998.27</v>
      </c>
      <c r="K15" s="501">
        <v>0</v>
      </c>
      <c r="L15" s="501">
        <v>0</v>
      </c>
      <c r="M15" s="501">
        <v>0</v>
      </c>
      <c r="N15" s="501">
        <v>0</v>
      </c>
      <c r="O15" s="501">
        <v>0</v>
      </c>
    </row>
    <row r="16" spans="1:15" ht="16.5" customHeight="1">
      <c r="A16" s="493" t="s">
        <v>33</v>
      </c>
      <c r="B16" s="493"/>
      <c r="C16" s="493"/>
      <c r="D16" s="494"/>
      <c r="E16" s="495">
        <f>E17+E19+E21+E23</f>
        <v>660270</v>
      </c>
      <c r="F16" s="495">
        <f>F17+F19+F21+F23</f>
        <v>660270</v>
      </c>
      <c r="G16" s="495">
        <f aca="true" t="shared" si="5" ref="G16:G27">F16/E16*100</f>
        <v>100</v>
      </c>
      <c r="H16" s="495">
        <f aca="true" t="shared" si="6" ref="H16:O16">H17+H19+H21+H23</f>
        <v>0</v>
      </c>
      <c r="I16" s="495">
        <f t="shared" si="6"/>
        <v>0</v>
      </c>
      <c r="J16" s="495">
        <f t="shared" si="6"/>
        <v>660270</v>
      </c>
      <c r="K16" s="495">
        <f t="shared" si="6"/>
        <v>0</v>
      </c>
      <c r="L16" s="495">
        <f t="shared" si="6"/>
        <v>0</v>
      </c>
      <c r="M16" s="495">
        <f t="shared" si="6"/>
        <v>0</v>
      </c>
      <c r="N16" s="495">
        <f t="shared" si="6"/>
        <v>0</v>
      </c>
      <c r="O16" s="495">
        <f t="shared" si="6"/>
        <v>0</v>
      </c>
    </row>
    <row r="17" spans="1:15" ht="16.5" customHeight="1">
      <c r="A17" s="496"/>
      <c r="B17" s="493" t="s">
        <v>34</v>
      </c>
      <c r="C17" s="493"/>
      <c r="D17" s="494"/>
      <c r="E17" s="495">
        <f>SUM(E18:E18)</f>
        <v>133000</v>
      </c>
      <c r="F17" s="495">
        <f>SUM(F18:F18)</f>
        <v>133000</v>
      </c>
      <c r="G17" s="495">
        <f t="shared" si="5"/>
        <v>100</v>
      </c>
      <c r="H17" s="495">
        <f aca="true" t="shared" si="7" ref="H17:O17">SUM(H18:H18)</f>
        <v>0</v>
      </c>
      <c r="I17" s="495">
        <f t="shared" si="7"/>
        <v>0</v>
      </c>
      <c r="J17" s="495">
        <f t="shared" si="7"/>
        <v>133000</v>
      </c>
      <c r="K17" s="495">
        <f t="shared" si="7"/>
        <v>0</v>
      </c>
      <c r="L17" s="495">
        <f t="shared" si="7"/>
        <v>0</v>
      </c>
      <c r="M17" s="495">
        <f t="shared" si="7"/>
        <v>0</v>
      </c>
      <c r="N17" s="495">
        <f t="shared" si="7"/>
        <v>0</v>
      </c>
      <c r="O17" s="495">
        <f t="shared" si="7"/>
        <v>0</v>
      </c>
    </row>
    <row r="18" spans="1:15" ht="16.5" customHeight="1">
      <c r="A18" s="497"/>
      <c r="B18" s="498"/>
      <c r="C18" s="499" t="s">
        <v>97</v>
      </c>
      <c r="D18" s="500"/>
      <c r="E18" s="501">
        <v>133000</v>
      </c>
      <c r="F18" s="501">
        <f>SUM(H18:O18)</f>
        <v>133000</v>
      </c>
      <c r="G18" s="501">
        <f t="shared" si="5"/>
        <v>100</v>
      </c>
      <c r="H18" s="501">
        <v>0</v>
      </c>
      <c r="I18" s="501">
        <v>0</v>
      </c>
      <c r="J18" s="501">
        <v>133000</v>
      </c>
      <c r="K18" s="501">
        <v>0</v>
      </c>
      <c r="L18" s="501">
        <v>0</v>
      </c>
      <c r="M18" s="501">
        <v>0</v>
      </c>
      <c r="N18" s="501">
        <v>0</v>
      </c>
      <c r="O18" s="501">
        <v>0</v>
      </c>
    </row>
    <row r="19" spans="1:15" ht="16.5" customHeight="1">
      <c r="A19" s="496"/>
      <c r="B19" s="493" t="s">
        <v>35</v>
      </c>
      <c r="C19" s="493"/>
      <c r="D19" s="494"/>
      <c r="E19" s="495">
        <f>SUM(E20:E20)</f>
        <v>135000</v>
      </c>
      <c r="F19" s="495">
        <f>SUM(F20:F20)</f>
        <v>135000</v>
      </c>
      <c r="G19" s="495">
        <f t="shared" si="5"/>
        <v>100</v>
      </c>
      <c r="H19" s="495">
        <f aca="true" t="shared" si="8" ref="H19:O19">SUM(H20:H20)</f>
        <v>0</v>
      </c>
      <c r="I19" s="495">
        <f t="shared" si="8"/>
        <v>0</v>
      </c>
      <c r="J19" s="495">
        <f t="shared" si="8"/>
        <v>135000</v>
      </c>
      <c r="K19" s="495">
        <f t="shared" si="8"/>
        <v>0</v>
      </c>
      <c r="L19" s="495">
        <f t="shared" si="8"/>
        <v>0</v>
      </c>
      <c r="M19" s="495">
        <f t="shared" si="8"/>
        <v>0</v>
      </c>
      <c r="N19" s="495">
        <f t="shared" si="8"/>
        <v>0</v>
      </c>
      <c r="O19" s="495">
        <f t="shared" si="8"/>
        <v>0</v>
      </c>
    </row>
    <row r="20" spans="1:15" ht="16.5" customHeight="1">
      <c r="A20" s="497"/>
      <c r="B20" s="498"/>
      <c r="C20" s="499" t="s">
        <v>97</v>
      </c>
      <c r="D20" s="500"/>
      <c r="E20" s="501">
        <v>135000</v>
      </c>
      <c r="F20" s="501">
        <f>SUM(H20:O20)</f>
        <v>135000</v>
      </c>
      <c r="G20" s="501">
        <f t="shared" si="5"/>
        <v>100</v>
      </c>
      <c r="H20" s="501">
        <v>0</v>
      </c>
      <c r="I20" s="501">
        <v>0</v>
      </c>
      <c r="J20" s="501">
        <v>135000</v>
      </c>
      <c r="K20" s="501">
        <v>0</v>
      </c>
      <c r="L20" s="501">
        <v>0</v>
      </c>
      <c r="M20" s="501">
        <v>0</v>
      </c>
      <c r="N20" s="501">
        <v>0</v>
      </c>
      <c r="O20" s="501">
        <v>0</v>
      </c>
    </row>
    <row r="21" spans="1:15" ht="16.5" customHeight="1">
      <c r="A21" s="496"/>
      <c r="B21" s="493" t="s">
        <v>36</v>
      </c>
      <c r="C21" s="493"/>
      <c r="D21" s="494"/>
      <c r="E21" s="495">
        <f>SUM(E22:E22)</f>
        <v>25000</v>
      </c>
      <c r="F21" s="495">
        <f>SUM(F22:F22)</f>
        <v>25000</v>
      </c>
      <c r="G21" s="495">
        <f t="shared" si="5"/>
        <v>100</v>
      </c>
      <c r="H21" s="495">
        <f aca="true" t="shared" si="9" ref="H21:O21">SUM(H22:H22)</f>
        <v>0</v>
      </c>
      <c r="I21" s="495">
        <f t="shared" si="9"/>
        <v>0</v>
      </c>
      <c r="J21" s="495">
        <f t="shared" si="9"/>
        <v>25000</v>
      </c>
      <c r="K21" s="495">
        <f t="shared" si="9"/>
        <v>0</v>
      </c>
      <c r="L21" s="495">
        <f t="shared" si="9"/>
        <v>0</v>
      </c>
      <c r="M21" s="495">
        <f t="shared" si="9"/>
        <v>0</v>
      </c>
      <c r="N21" s="495">
        <f t="shared" si="9"/>
        <v>0</v>
      </c>
      <c r="O21" s="495">
        <f t="shared" si="9"/>
        <v>0</v>
      </c>
    </row>
    <row r="22" spans="1:15" ht="16.5" customHeight="1">
      <c r="A22" s="497"/>
      <c r="B22" s="498"/>
      <c r="C22" s="499" t="s">
        <v>97</v>
      </c>
      <c r="D22" s="500"/>
      <c r="E22" s="501">
        <v>25000</v>
      </c>
      <c r="F22" s="501">
        <f>SUM(H22:O22)</f>
        <v>25000</v>
      </c>
      <c r="G22" s="501">
        <f t="shared" si="5"/>
        <v>100</v>
      </c>
      <c r="H22" s="501">
        <v>0</v>
      </c>
      <c r="I22" s="501">
        <v>0</v>
      </c>
      <c r="J22" s="501">
        <v>25000</v>
      </c>
      <c r="K22" s="501">
        <v>0</v>
      </c>
      <c r="L22" s="501">
        <v>0</v>
      </c>
      <c r="M22" s="501">
        <v>0</v>
      </c>
      <c r="N22" s="501">
        <v>0</v>
      </c>
      <c r="O22" s="501">
        <v>0</v>
      </c>
    </row>
    <row r="23" spans="1:15" ht="16.5" customHeight="1">
      <c r="A23" s="496"/>
      <c r="B23" s="493" t="s">
        <v>37</v>
      </c>
      <c r="C23" s="493"/>
      <c r="D23" s="494"/>
      <c r="E23" s="495">
        <f>SUM(E24:E24)</f>
        <v>367270</v>
      </c>
      <c r="F23" s="495">
        <f>SUM(F24:F24)</f>
        <v>367270</v>
      </c>
      <c r="G23" s="495">
        <f t="shared" si="5"/>
        <v>100</v>
      </c>
      <c r="H23" s="495">
        <f aca="true" t="shared" si="10" ref="H23:O23">SUM(H24:H24)</f>
        <v>0</v>
      </c>
      <c r="I23" s="495">
        <f t="shared" si="10"/>
        <v>0</v>
      </c>
      <c r="J23" s="495">
        <f t="shared" si="10"/>
        <v>367270</v>
      </c>
      <c r="K23" s="495">
        <f t="shared" si="10"/>
        <v>0</v>
      </c>
      <c r="L23" s="495">
        <f t="shared" si="10"/>
        <v>0</v>
      </c>
      <c r="M23" s="495">
        <f t="shared" si="10"/>
        <v>0</v>
      </c>
      <c r="N23" s="495">
        <f t="shared" si="10"/>
        <v>0</v>
      </c>
      <c r="O23" s="495">
        <f t="shared" si="10"/>
        <v>0</v>
      </c>
    </row>
    <row r="24" spans="1:15" ht="16.5" customHeight="1">
      <c r="A24" s="497"/>
      <c r="B24" s="498"/>
      <c r="C24" s="499" t="s">
        <v>97</v>
      </c>
      <c r="D24" s="500"/>
      <c r="E24" s="501">
        <v>367270</v>
      </c>
      <c r="F24" s="501">
        <f>SUM(H24:O24)</f>
        <v>367270</v>
      </c>
      <c r="G24" s="501">
        <f t="shared" si="5"/>
        <v>100</v>
      </c>
      <c r="H24" s="501">
        <v>0</v>
      </c>
      <c r="I24" s="501">
        <v>0</v>
      </c>
      <c r="J24" s="501">
        <v>367270</v>
      </c>
      <c r="K24" s="501">
        <v>0</v>
      </c>
      <c r="L24" s="501">
        <v>0</v>
      </c>
      <c r="M24" s="501">
        <v>0</v>
      </c>
      <c r="N24" s="501">
        <v>0</v>
      </c>
      <c r="O24" s="501">
        <v>0</v>
      </c>
    </row>
    <row r="25" spans="1:15" ht="16.5" customHeight="1">
      <c r="A25" s="493" t="s">
        <v>19</v>
      </c>
      <c r="B25" s="493"/>
      <c r="C25" s="493"/>
      <c r="D25" s="494"/>
      <c r="E25" s="495">
        <f>E26+E28</f>
        <v>197029</v>
      </c>
      <c r="F25" s="495">
        <f>F26+F28</f>
        <v>197028.33000000002</v>
      </c>
      <c r="G25" s="495">
        <f t="shared" si="5"/>
        <v>99.99965994853551</v>
      </c>
      <c r="H25" s="495">
        <f aca="true" t="shared" si="11" ref="H25:O25">H26+H28</f>
        <v>0</v>
      </c>
      <c r="I25" s="495">
        <f t="shared" si="11"/>
        <v>0</v>
      </c>
      <c r="J25" s="495">
        <f t="shared" si="11"/>
        <v>197028.33000000002</v>
      </c>
      <c r="K25" s="495">
        <f t="shared" si="11"/>
        <v>0</v>
      </c>
      <c r="L25" s="495">
        <f t="shared" si="11"/>
        <v>0</v>
      </c>
      <c r="M25" s="495">
        <f t="shared" si="11"/>
        <v>0</v>
      </c>
      <c r="N25" s="495">
        <f t="shared" si="11"/>
        <v>0</v>
      </c>
      <c r="O25" s="495">
        <f t="shared" si="11"/>
        <v>0</v>
      </c>
    </row>
    <row r="26" spans="1:15" ht="16.5" customHeight="1">
      <c r="A26" s="496"/>
      <c r="B26" s="493" t="s">
        <v>20</v>
      </c>
      <c r="C26" s="493"/>
      <c r="D26" s="494"/>
      <c r="E26" s="495">
        <f>SUM(E27:E27)</f>
        <v>179330</v>
      </c>
      <c r="F26" s="495">
        <f>SUM(F27:F27)</f>
        <v>179330</v>
      </c>
      <c r="G26" s="495">
        <f t="shared" si="5"/>
        <v>100</v>
      </c>
      <c r="H26" s="495">
        <f aca="true" t="shared" si="12" ref="H26:O26">SUM(H27:H27)</f>
        <v>0</v>
      </c>
      <c r="I26" s="495">
        <f t="shared" si="12"/>
        <v>0</v>
      </c>
      <c r="J26" s="495">
        <f t="shared" si="12"/>
        <v>179330</v>
      </c>
      <c r="K26" s="495">
        <f t="shared" si="12"/>
        <v>0</v>
      </c>
      <c r="L26" s="495">
        <f t="shared" si="12"/>
        <v>0</v>
      </c>
      <c r="M26" s="495">
        <f t="shared" si="12"/>
        <v>0</v>
      </c>
      <c r="N26" s="495">
        <f t="shared" si="12"/>
        <v>0</v>
      </c>
      <c r="O26" s="495">
        <f t="shared" si="12"/>
        <v>0</v>
      </c>
    </row>
    <row r="27" spans="1:15" ht="16.5" customHeight="1">
      <c r="A27" s="497"/>
      <c r="B27" s="498"/>
      <c r="C27" s="499" t="s">
        <v>97</v>
      </c>
      <c r="D27" s="500"/>
      <c r="E27" s="501">
        <v>179330</v>
      </c>
      <c r="F27" s="501">
        <f>SUM(H27:O27)</f>
        <v>179330</v>
      </c>
      <c r="G27" s="501">
        <f t="shared" si="5"/>
        <v>100</v>
      </c>
      <c r="H27" s="501">
        <v>0</v>
      </c>
      <c r="I27" s="501">
        <v>0</v>
      </c>
      <c r="J27" s="501">
        <v>179330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</row>
    <row r="28" spans="1:15" ht="16.5" customHeight="1">
      <c r="A28" s="497"/>
      <c r="B28" s="493" t="s">
        <v>38</v>
      </c>
      <c r="C28" s="493"/>
      <c r="D28" s="494"/>
      <c r="E28" s="495">
        <f>SUM(E29:E29)</f>
        <v>17699</v>
      </c>
      <c r="F28" s="495">
        <f>SUM(F29:F29)</f>
        <v>17698.33</v>
      </c>
      <c r="G28" s="495">
        <f aca="true" t="shared" si="13" ref="G28:G35">F28/E28*100</f>
        <v>99.9962144753941</v>
      </c>
      <c r="H28" s="495">
        <f aca="true" t="shared" si="14" ref="H28:O28">SUM(H29:H29)</f>
        <v>0</v>
      </c>
      <c r="I28" s="495">
        <f t="shared" si="14"/>
        <v>0</v>
      </c>
      <c r="J28" s="495">
        <f t="shared" si="14"/>
        <v>17698.33</v>
      </c>
      <c r="K28" s="495">
        <f t="shared" si="14"/>
        <v>0</v>
      </c>
      <c r="L28" s="495">
        <f t="shared" si="14"/>
        <v>0</v>
      </c>
      <c r="M28" s="495">
        <f t="shared" si="14"/>
        <v>0</v>
      </c>
      <c r="N28" s="495">
        <f t="shared" si="14"/>
        <v>0</v>
      </c>
      <c r="O28" s="495">
        <f t="shared" si="14"/>
        <v>0</v>
      </c>
    </row>
    <row r="29" spans="1:15" ht="16.5" customHeight="1">
      <c r="A29" s="497"/>
      <c r="B29" s="498"/>
      <c r="C29" s="499" t="s">
        <v>97</v>
      </c>
      <c r="D29" s="500"/>
      <c r="E29" s="501">
        <v>17699</v>
      </c>
      <c r="F29" s="501">
        <f>SUM(H29:O29)</f>
        <v>17698.33</v>
      </c>
      <c r="G29" s="501">
        <f t="shared" si="13"/>
        <v>99.9962144753941</v>
      </c>
      <c r="H29" s="501">
        <v>0</v>
      </c>
      <c r="I29" s="501">
        <v>0</v>
      </c>
      <c r="J29" s="501">
        <v>17698.33</v>
      </c>
      <c r="K29" s="501">
        <v>0</v>
      </c>
      <c r="L29" s="501">
        <v>0</v>
      </c>
      <c r="M29" s="501">
        <v>0</v>
      </c>
      <c r="N29" s="501">
        <v>0</v>
      </c>
      <c r="O29" s="501">
        <v>0</v>
      </c>
    </row>
    <row r="30" spans="1:15" ht="16.5" customHeight="1">
      <c r="A30" s="493" t="s">
        <v>269</v>
      </c>
      <c r="B30" s="493"/>
      <c r="C30" s="493"/>
      <c r="D30" s="494"/>
      <c r="E30" s="495">
        <f>E31</f>
        <v>1000</v>
      </c>
      <c r="F30" s="495">
        <f>F31</f>
        <v>999.01</v>
      </c>
      <c r="G30" s="495">
        <f t="shared" si="13"/>
        <v>99.901</v>
      </c>
      <c r="H30" s="495">
        <f aca="true" t="shared" si="15" ref="H30:O30">H31</f>
        <v>0</v>
      </c>
      <c r="I30" s="495">
        <f t="shared" si="15"/>
        <v>0</v>
      </c>
      <c r="J30" s="495">
        <f t="shared" si="15"/>
        <v>999.01</v>
      </c>
      <c r="K30" s="495">
        <f t="shared" si="15"/>
        <v>0</v>
      </c>
      <c r="L30" s="495">
        <f t="shared" si="15"/>
        <v>0</v>
      </c>
      <c r="M30" s="495">
        <f t="shared" si="15"/>
        <v>0</v>
      </c>
      <c r="N30" s="495">
        <f t="shared" si="15"/>
        <v>0</v>
      </c>
      <c r="O30" s="495">
        <f t="shared" si="15"/>
        <v>0</v>
      </c>
    </row>
    <row r="31" spans="1:15" ht="16.5" customHeight="1">
      <c r="A31" s="496"/>
      <c r="B31" s="493" t="s">
        <v>270</v>
      </c>
      <c r="C31" s="493"/>
      <c r="D31" s="494"/>
      <c r="E31" s="495">
        <f>SUM(E32:E32)</f>
        <v>1000</v>
      </c>
      <c r="F31" s="495">
        <f>SUM(F32:F32)</f>
        <v>999.01</v>
      </c>
      <c r="G31" s="495">
        <f t="shared" si="13"/>
        <v>99.901</v>
      </c>
      <c r="H31" s="495">
        <f aca="true" t="shared" si="16" ref="H31:O31">SUM(H32:H32)</f>
        <v>0</v>
      </c>
      <c r="I31" s="495">
        <f t="shared" si="16"/>
        <v>0</v>
      </c>
      <c r="J31" s="495">
        <f t="shared" si="16"/>
        <v>999.01</v>
      </c>
      <c r="K31" s="495">
        <f t="shared" si="16"/>
        <v>0</v>
      </c>
      <c r="L31" s="495">
        <f t="shared" si="16"/>
        <v>0</v>
      </c>
      <c r="M31" s="495">
        <f t="shared" si="16"/>
        <v>0</v>
      </c>
      <c r="N31" s="495">
        <f t="shared" si="16"/>
        <v>0</v>
      </c>
      <c r="O31" s="495">
        <f t="shared" si="16"/>
        <v>0</v>
      </c>
    </row>
    <row r="32" spans="1:15" ht="16.5" customHeight="1">
      <c r="A32" s="497"/>
      <c r="B32" s="498"/>
      <c r="C32" s="499" t="s">
        <v>97</v>
      </c>
      <c r="D32" s="500"/>
      <c r="E32" s="501">
        <v>1000</v>
      </c>
      <c r="F32" s="501">
        <f>SUM(H32:O32)</f>
        <v>999.01</v>
      </c>
      <c r="G32" s="501">
        <f t="shared" si="13"/>
        <v>99.901</v>
      </c>
      <c r="H32" s="501">
        <v>0</v>
      </c>
      <c r="I32" s="501">
        <v>0</v>
      </c>
      <c r="J32" s="501">
        <v>999.01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</row>
    <row r="33" spans="1:15" ht="16.5" customHeight="1">
      <c r="A33" s="493" t="s">
        <v>39</v>
      </c>
      <c r="B33" s="493"/>
      <c r="C33" s="493"/>
      <c r="D33" s="494"/>
      <c r="E33" s="495">
        <f>E34+E36</f>
        <v>5733315</v>
      </c>
      <c r="F33" s="495">
        <f>F34+F36</f>
        <v>5733315</v>
      </c>
      <c r="G33" s="495">
        <f t="shared" si="13"/>
        <v>100</v>
      </c>
      <c r="H33" s="495">
        <f aca="true" t="shared" si="17" ref="H33:O33">H34+H36</f>
        <v>0</v>
      </c>
      <c r="I33" s="495">
        <f t="shared" si="17"/>
        <v>0</v>
      </c>
      <c r="J33" s="495">
        <f t="shared" si="17"/>
        <v>5733315</v>
      </c>
      <c r="K33" s="495">
        <f t="shared" si="17"/>
        <v>0</v>
      </c>
      <c r="L33" s="495">
        <f t="shared" si="17"/>
        <v>0</v>
      </c>
      <c r="M33" s="495">
        <f t="shared" si="17"/>
        <v>0</v>
      </c>
      <c r="N33" s="495">
        <f t="shared" si="17"/>
        <v>0</v>
      </c>
      <c r="O33" s="495">
        <f t="shared" si="17"/>
        <v>0</v>
      </c>
    </row>
    <row r="34" spans="1:15" ht="16.5" customHeight="1">
      <c r="A34" s="496"/>
      <c r="B34" s="493" t="s">
        <v>40</v>
      </c>
      <c r="C34" s="493"/>
      <c r="D34" s="494"/>
      <c r="E34" s="495">
        <f>SUM(E35:E35)</f>
        <v>5728315</v>
      </c>
      <c r="F34" s="495">
        <f>SUM(F35:F35)</f>
        <v>5728315</v>
      </c>
      <c r="G34" s="495">
        <f t="shared" si="13"/>
        <v>100</v>
      </c>
      <c r="H34" s="495">
        <f aca="true" t="shared" si="18" ref="H34:O34">SUM(H35:H35)</f>
        <v>0</v>
      </c>
      <c r="I34" s="495">
        <f t="shared" si="18"/>
        <v>0</v>
      </c>
      <c r="J34" s="495">
        <f t="shared" si="18"/>
        <v>5728315</v>
      </c>
      <c r="K34" s="495">
        <f t="shared" si="18"/>
        <v>0</v>
      </c>
      <c r="L34" s="495">
        <f t="shared" si="18"/>
        <v>0</v>
      </c>
      <c r="M34" s="495">
        <f t="shared" si="18"/>
        <v>0</v>
      </c>
      <c r="N34" s="495">
        <f t="shared" si="18"/>
        <v>0</v>
      </c>
      <c r="O34" s="495">
        <f t="shared" si="18"/>
        <v>0</v>
      </c>
    </row>
    <row r="35" spans="1:15" ht="16.5" customHeight="1">
      <c r="A35" s="497"/>
      <c r="B35" s="498"/>
      <c r="C35" s="499" t="s">
        <v>97</v>
      </c>
      <c r="D35" s="500"/>
      <c r="E35" s="501">
        <v>5728315</v>
      </c>
      <c r="F35" s="501">
        <f>SUM(H35:O35)</f>
        <v>5728315</v>
      </c>
      <c r="G35" s="501">
        <f t="shared" si="13"/>
        <v>100</v>
      </c>
      <c r="H35" s="501">
        <v>0</v>
      </c>
      <c r="I35" s="501">
        <v>0</v>
      </c>
      <c r="J35" s="501">
        <v>5728315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</row>
    <row r="36" spans="1:15" ht="16.5" customHeight="1">
      <c r="A36" s="497"/>
      <c r="B36" s="493" t="s">
        <v>83</v>
      </c>
      <c r="C36" s="493"/>
      <c r="D36" s="494"/>
      <c r="E36" s="495">
        <f>SUM(E37:E37)</f>
        <v>5000</v>
      </c>
      <c r="F36" s="495">
        <f>SUM(F37:F37)</f>
        <v>5000</v>
      </c>
      <c r="G36" s="495">
        <f aca="true" t="shared" si="19" ref="G36:G52">F36/E36*100</f>
        <v>100</v>
      </c>
      <c r="H36" s="495">
        <f aca="true" t="shared" si="20" ref="H36:O36">SUM(H37:H37)</f>
        <v>0</v>
      </c>
      <c r="I36" s="495">
        <f t="shared" si="20"/>
        <v>0</v>
      </c>
      <c r="J36" s="495">
        <f t="shared" si="20"/>
        <v>5000</v>
      </c>
      <c r="K36" s="495">
        <f t="shared" si="20"/>
        <v>0</v>
      </c>
      <c r="L36" s="495">
        <f t="shared" si="20"/>
        <v>0</v>
      </c>
      <c r="M36" s="495">
        <f t="shared" si="20"/>
        <v>0</v>
      </c>
      <c r="N36" s="495">
        <f t="shared" si="20"/>
        <v>0</v>
      </c>
      <c r="O36" s="495">
        <f t="shared" si="20"/>
        <v>0</v>
      </c>
    </row>
    <row r="37" spans="1:15" ht="16.5" customHeight="1">
      <c r="A37" s="497"/>
      <c r="B37" s="498"/>
      <c r="C37" s="499" t="s">
        <v>97</v>
      </c>
      <c r="D37" s="500"/>
      <c r="E37" s="501">
        <v>5000</v>
      </c>
      <c r="F37" s="501">
        <f>SUM(H37:O37)</f>
        <v>5000</v>
      </c>
      <c r="G37" s="501">
        <f t="shared" si="19"/>
        <v>100</v>
      </c>
      <c r="H37" s="501">
        <v>0</v>
      </c>
      <c r="I37" s="501">
        <v>0</v>
      </c>
      <c r="J37" s="501">
        <v>5000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</row>
    <row r="38" spans="1:15" ht="16.5" customHeight="1">
      <c r="A38" s="493" t="s">
        <v>50</v>
      </c>
      <c r="B38" s="493"/>
      <c r="C38" s="493"/>
      <c r="D38" s="494"/>
      <c r="E38" s="495">
        <f>E39+E41</f>
        <v>9874</v>
      </c>
      <c r="F38" s="495">
        <f>F39+F41</f>
        <v>5121.610000000001</v>
      </c>
      <c r="G38" s="495">
        <f t="shared" si="19"/>
        <v>51.869657686854374</v>
      </c>
      <c r="H38" s="495">
        <f aca="true" t="shared" si="21" ref="H38:O38">H39+H41</f>
        <v>0</v>
      </c>
      <c r="I38" s="495">
        <f t="shared" si="21"/>
        <v>0</v>
      </c>
      <c r="J38" s="495">
        <f t="shared" si="21"/>
        <v>5121.610000000001</v>
      </c>
      <c r="K38" s="495">
        <f t="shared" si="21"/>
        <v>0</v>
      </c>
      <c r="L38" s="495">
        <f t="shared" si="21"/>
        <v>0</v>
      </c>
      <c r="M38" s="495">
        <f t="shared" si="21"/>
        <v>0</v>
      </c>
      <c r="N38" s="495">
        <f t="shared" si="21"/>
        <v>0</v>
      </c>
      <c r="O38" s="495">
        <f t="shared" si="21"/>
        <v>0</v>
      </c>
    </row>
    <row r="39" spans="1:15" ht="16.5" customHeight="1">
      <c r="A39" s="496"/>
      <c r="B39" s="493" t="s">
        <v>51</v>
      </c>
      <c r="C39" s="493"/>
      <c r="D39" s="494"/>
      <c r="E39" s="495">
        <f>SUM(E40:E40)</f>
        <v>4712</v>
      </c>
      <c r="F39" s="495">
        <f>SUM(F40:F40)</f>
        <v>2681.25</v>
      </c>
      <c r="G39" s="495">
        <f t="shared" si="19"/>
        <v>56.902589134125634</v>
      </c>
      <c r="H39" s="495">
        <f aca="true" t="shared" si="22" ref="H39:O39">SUM(H40:H40)</f>
        <v>0</v>
      </c>
      <c r="I39" s="495">
        <f t="shared" si="22"/>
        <v>0</v>
      </c>
      <c r="J39" s="495">
        <f t="shared" si="22"/>
        <v>2681.25</v>
      </c>
      <c r="K39" s="495">
        <f t="shared" si="22"/>
        <v>0</v>
      </c>
      <c r="L39" s="495">
        <f t="shared" si="22"/>
        <v>0</v>
      </c>
      <c r="M39" s="495">
        <f t="shared" si="22"/>
        <v>0</v>
      </c>
      <c r="N39" s="495">
        <f t="shared" si="22"/>
        <v>0</v>
      </c>
      <c r="O39" s="495">
        <f t="shared" si="22"/>
        <v>0</v>
      </c>
    </row>
    <row r="40" spans="1:15" ht="16.5" customHeight="1">
      <c r="A40" s="497"/>
      <c r="B40" s="498"/>
      <c r="C40" s="499" t="s">
        <v>97</v>
      </c>
      <c r="D40" s="500"/>
      <c r="E40" s="501">
        <v>4712</v>
      </c>
      <c r="F40" s="501">
        <f>SUM(H40:O40)</f>
        <v>2681.25</v>
      </c>
      <c r="G40" s="501">
        <f t="shared" si="19"/>
        <v>56.902589134125634</v>
      </c>
      <c r="H40" s="501">
        <v>0</v>
      </c>
      <c r="I40" s="501">
        <v>0</v>
      </c>
      <c r="J40" s="501">
        <v>2681.25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</row>
    <row r="41" spans="1:15" ht="16.5" customHeight="1">
      <c r="A41" s="497"/>
      <c r="B41" s="493" t="s">
        <v>347</v>
      </c>
      <c r="C41" s="493"/>
      <c r="D41" s="494"/>
      <c r="E41" s="495">
        <f>SUM(E42:E42)</f>
        <v>5162</v>
      </c>
      <c r="F41" s="495">
        <f>SUM(F42:F42)</f>
        <v>2440.36</v>
      </c>
      <c r="G41" s="495">
        <f>F41/E41*100</f>
        <v>47.27547462223944</v>
      </c>
      <c r="H41" s="495">
        <f aca="true" t="shared" si="23" ref="H41:O41">SUM(H42:H42)</f>
        <v>0</v>
      </c>
      <c r="I41" s="495">
        <f t="shared" si="23"/>
        <v>0</v>
      </c>
      <c r="J41" s="495">
        <f t="shared" si="23"/>
        <v>2440.36</v>
      </c>
      <c r="K41" s="495">
        <f t="shared" si="23"/>
        <v>0</v>
      </c>
      <c r="L41" s="495">
        <f t="shared" si="23"/>
        <v>0</v>
      </c>
      <c r="M41" s="495">
        <f t="shared" si="23"/>
        <v>0</v>
      </c>
      <c r="N41" s="495">
        <f t="shared" si="23"/>
        <v>0</v>
      </c>
      <c r="O41" s="495">
        <f t="shared" si="23"/>
        <v>0</v>
      </c>
    </row>
    <row r="42" spans="1:15" ht="16.5" customHeight="1">
      <c r="A42" s="497"/>
      <c r="B42" s="498"/>
      <c r="C42" s="499" t="s">
        <v>97</v>
      </c>
      <c r="D42" s="500"/>
      <c r="E42" s="501">
        <v>5162</v>
      </c>
      <c r="F42" s="501">
        <f>SUM(H42:O42)</f>
        <v>2440.36</v>
      </c>
      <c r="G42" s="501">
        <f>F42/E42*100</f>
        <v>47.27547462223944</v>
      </c>
      <c r="H42" s="501">
        <v>0</v>
      </c>
      <c r="I42" s="501">
        <v>0</v>
      </c>
      <c r="J42" s="501">
        <v>2440.36</v>
      </c>
      <c r="K42" s="501">
        <v>0</v>
      </c>
      <c r="L42" s="501">
        <v>0</v>
      </c>
      <c r="M42" s="501">
        <v>0</v>
      </c>
      <c r="N42" s="501">
        <v>0</v>
      </c>
      <c r="O42" s="501">
        <v>0</v>
      </c>
    </row>
    <row r="43" spans="1:15" ht="16.5" customHeight="1">
      <c r="A43" s="493" t="s">
        <v>41</v>
      </c>
      <c r="B43" s="493"/>
      <c r="C43" s="493"/>
      <c r="D43" s="494"/>
      <c r="E43" s="495">
        <f>E44</f>
        <v>2743993</v>
      </c>
      <c r="F43" s="495">
        <f>F44</f>
        <v>2692510.35</v>
      </c>
      <c r="G43" s="495">
        <f t="shared" si="19"/>
        <v>98.12380534498448</v>
      </c>
      <c r="H43" s="495">
        <f aca="true" t="shared" si="24" ref="H43:O43">H44</f>
        <v>0</v>
      </c>
      <c r="I43" s="495">
        <f t="shared" si="24"/>
        <v>0</v>
      </c>
      <c r="J43" s="495">
        <f t="shared" si="24"/>
        <v>2692510.35</v>
      </c>
      <c r="K43" s="495">
        <f t="shared" si="24"/>
        <v>0</v>
      </c>
      <c r="L43" s="495">
        <f t="shared" si="24"/>
        <v>0</v>
      </c>
      <c r="M43" s="495">
        <f t="shared" si="24"/>
        <v>0</v>
      </c>
      <c r="N43" s="495">
        <f t="shared" si="24"/>
        <v>0</v>
      </c>
      <c r="O43" s="495">
        <f t="shared" si="24"/>
        <v>0</v>
      </c>
    </row>
    <row r="44" spans="1:15" ht="16.5" customHeight="1">
      <c r="A44" s="496"/>
      <c r="B44" s="493" t="s">
        <v>42</v>
      </c>
      <c r="C44" s="493"/>
      <c r="D44" s="494"/>
      <c r="E44" s="495">
        <f>SUM(E45:E45)</f>
        <v>2743993</v>
      </c>
      <c r="F44" s="495">
        <f>SUM(F45:F45)</f>
        <v>2692510.35</v>
      </c>
      <c r="G44" s="495">
        <f t="shared" si="19"/>
        <v>98.12380534498448</v>
      </c>
      <c r="H44" s="495">
        <f aca="true" t="shared" si="25" ref="H44:O44">SUM(H45:H45)</f>
        <v>0</v>
      </c>
      <c r="I44" s="495">
        <f t="shared" si="25"/>
        <v>0</v>
      </c>
      <c r="J44" s="495">
        <f t="shared" si="25"/>
        <v>2692510.35</v>
      </c>
      <c r="K44" s="495">
        <f t="shared" si="25"/>
        <v>0</v>
      </c>
      <c r="L44" s="495">
        <f t="shared" si="25"/>
        <v>0</v>
      </c>
      <c r="M44" s="495">
        <f t="shared" si="25"/>
        <v>0</v>
      </c>
      <c r="N44" s="495">
        <f t="shared" si="25"/>
        <v>0</v>
      </c>
      <c r="O44" s="495">
        <f t="shared" si="25"/>
        <v>0</v>
      </c>
    </row>
    <row r="45" spans="1:15" ht="16.5" customHeight="1">
      <c r="A45" s="497"/>
      <c r="B45" s="498"/>
      <c r="C45" s="499" t="s">
        <v>97</v>
      </c>
      <c r="D45" s="500"/>
      <c r="E45" s="501">
        <v>2743993</v>
      </c>
      <c r="F45" s="501">
        <f>SUM(H45:O45)</f>
        <v>2692510.35</v>
      </c>
      <c r="G45" s="501">
        <f t="shared" si="19"/>
        <v>98.12380534498448</v>
      </c>
      <c r="H45" s="501">
        <v>0</v>
      </c>
      <c r="I45" s="501">
        <v>0</v>
      </c>
      <c r="J45" s="501">
        <v>2692510.35</v>
      </c>
      <c r="K45" s="501">
        <v>0</v>
      </c>
      <c r="L45" s="501">
        <v>0</v>
      </c>
      <c r="M45" s="501">
        <v>0</v>
      </c>
      <c r="N45" s="501">
        <v>0</v>
      </c>
      <c r="O45" s="501">
        <v>0</v>
      </c>
    </row>
    <row r="46" spans="1:15" ht="16.5" customHeight="1">
      <c r="A46" s="493" t="s">
        <v>94</v>
      </c>
      <c r="B46" s="493"/>
      <c r="C46" s="493"/>
      <c r="D46" s="494"/>
      <c r="E46" s="495">
        <f>E47</f>
        <v>13000</v>
      </c>
      <c r="F46" s="495">
        <f>F47</f>
        <v>13000</v>
      </c>
      <c r="G46" s="495">
        <f t="shared" si="19"/>
        <v>100</v>
      </c>
      <c r="H46" s="495">
        <f aca="true" t="shared" si="26" ref="H46:O46">H47</f>
        <v>0</v>
      </c>
      <c r="I46" s="495">
        <f t="shared" si="26"/>
        <v>0</v>
      </c>
      <c r="J46" s="495">
        <f t="shared" si="26"/>
        <v>13000</v>
      </c>
      <c r="K46" s="495">
        <f t="shared" si="26"/>
        <v>0</v>
      </c>
      <c r="L46" s="495">
        <f t="shared" si="26"/>
        <v>0</v>
      </c>
      <c r="M46" s="495">
        <f t="shared" si="26"/>
        <v>0</v>
      </c>
      <c r="N46" s="495">
        <f t="shared" si="26"/>
        <v>0</v>
      </c>
      <c r="O46" s="495">
        <f t="shared" si="26"/>
        <v>0</v>
      </c>
    </row>
    <row r="47" spans="1:15" ht="16.5" customHeight="1">
      <c r="A47" s="496"/>
      <c r="B47" s="493" t="s">
        <v>272</v>
      </c>
      <c r="C47" s="493"/>
      <c r="D47" s="494"/>
      <c r="E47" s="495">
        <f>SUM(E48:E48)</f>
        <v>13000</v>
      </c>
      <c r="F47" s="495">
        <f>SUM(F48:F48)</f>
        <v>13000</v>
      </c>
      <c r="G47" s="495">
        <f t="shared" si="19"/>
        <v>100</v>
      </c>
      <c r="H47" s="495">
        <f aca="true" t="shared" si="27" ref="H47:O47">SUM(H48:H48)</f>
        <v>0</v>
      </c>
      <c r="I47" s="495">
        <f t="shared" si="27"/>
        <v>0</v>
      </c>
      <c r="J47" s="495">
        <f t="shared" si="27"/>
        <v>13000</v>
      </c>
      <c r="K47" s="495">
        <f t="shared" si="27"/>
        <v>0</v>
      </c>
      <c r="L47" s="495">
        <f t="shared" si="27"/>
        <v>0</v>
      </c>
      <c r="M47" s="495">
        <f t="shared" si="27"/>
        <v>0</v>
      </c>
      <c r="N47" s="495">
        <f t="shared" si="27"/>
        <v>0</v>
      </c>
      <c r="O47" s="495">
        <f t="shared" si="27"/>
        <v>0</v>
      </c>
    </row>
    <row r="48" spans="1:15" ht="16.5" customHeight="1">
      <c r="A48" s="497"/>
      <c r="B48" s="498"/>
      <c r="C48" s="499" t="s">
        <v>97</v>
      </c>
      <c r="D48" s="500"/>
      <c r="E48" s="501">
        <v>13000</v>
      </c>
      <c r="F48" s="501">
        <f>SUM(H48:O48)</f>
        <v>13000</v>
      </c>
      <c r="G48" s="501">
        <f t="shared" si="19"/>
        <v>100</v>
      </c>
      <c r="H48" s="501">
        <v>0</v>
      </c>
      <c r="I48" s="501">
        <v>0</v>
      </c>
      <c r="J48" s="501">
        <v>13000</v>
      </c>
      <c r="K48" s="501">
        <v>0</v>
      </c>
      <c r="L48" s="501">
        <v>0</v>
      </c>
      <c r="M48" s="501">
        <v>0</v>
      </c>
      <c r="N48" s="501">
        <v>0</v>
      </c>
      <c r="O48" s="501">
        <v>0</v>
      </c>
    </row>
    <row r="49" spans="1:15" ht="16.5" customHeight="1">
      <c r="A49" s="493" t="s">
        <v>28</v>
      </c>
      <c r="B49" s="493"/>
      <c r="C49" s="493"/>
      <c r="D49" s="494"/>
      <c r="E49" s="495">
        <f>E50</f>
        <v>509400</v>
      </c>
      <c r="F49" s="495">
        <f>F50</f>
        <v>509400</v>
      </c>
      <c r="G49" s="495">
        <f t="shared" si="19"/>
        <v>100</v>
      </c>
      <c r="H49" s="495">
        <f aca="true" t="shared" si="28" ref="H49:O49">H50</f>
        <v>0</v>
      </c>
      <c r="I49" s="495">
        <f t="shared" si="28"/>
        <v>0</v>
      </c>
      <c r="J49" s="495">
        <f t="shared" si="28"/>
        <v>509400</v>
      </c>
      <c r="K49" s="495">
        <f t="shared" si="28"/>
        <v>0</v>
      </c>
      <c r="L49" s="495">
        <f t="shared" si="28"/>
        <v>0</v>
      </c>
      <c r="M49" s="495">
        <f t="shared" si="28"/>
        <v>0</v>
      </c>
      <c r="N49" s="495">
        <f t="shared" si="28"/>
        <v>0</v>
      </c>
      <c r="O49" s="495">
        <f t="shared" si="28"/>
        <v>0</v>
      </c>
    </row>
    <row r="50" spans="1:15" ht="16.5" customHeight="1">
      <c r="A50" s="496"/>
      <c r="B50" s="493" t="s">
        <v>76</v>
      </c>
      <c r="C50" s="493"/>
      <c r="D50" s="494"/>
      <c r="E50" s="495">
        <f>SUM(E51:E51)</f>
        <v>509400</v>
      </c>
      <c r="F50" s="495">
        <f>SUM(F51:F51)</f>
        <v>509400</v>
      </c>
      <c r="G50" s="495">
        <f t="shared" si="19"/>
        <v>100</v>
      </c>
      <c r="H50" s="495">
        <f aca="true" t="shared" si="29" ref="H50:O50">SUM(H51:H51)</f>
        <v>0</v>
      </c>
      <c r="I50" s="495">
        <f t="shared" si="29"/>
        <v>0</v>
      </c>
      <c r="J50" s="495">
        <f t="shared" si="29"/>
        <v>509400</v>
      </c>
      <c r="K50" s="495">
        <f t="shared" si="29"/>
        <v>0</v>
      </c>
      <c r="L50" s="495">
        <f t="shared" si="29"/>
        <v>0</v>
      </c>
      <c r="M50" s="495">
        <f t="shared" si="29"/>
        <v>0</v>
      </c>
      <c r="N50" s="495">
        <f t="shared" si="29"/>
        <v>0</v>
      </c>
      <c r="O50" s="495">
        <f t="shared" si="29"/>
        <v>0</v>
      </c>
    </row>
    <row r="51" spans="1:15" ht="16.5" customHeight="1" thickBot="1">
      <c r="A51" s="497"/>
      <c r="B51" s="498"/>
      <c r="C51" s="499" t="s">
        <v>97</v>
      </c>
      <c r="D51" s="500"/>
      <c r="E51" s="501">
        <v>509400</v>
      </c>
      <c r="F51" s="501">
        <f>SUM(H51:O51)</f>
        <v>509400</v>
      </c>
      <c r="G51" s="501">
        <f t="shared" si="19"/>
        <v>100</v>
      </c>
      <c r="H51" s="501">
        <v>0</v>
      </c>
      <c r="I51" s="501">
        <v>0</v>
      </c>
      <c r="J51" s="501">
        <v>509400</v>
      </c>
      <c r="K51" s="501">
        <v>0</v>
      </c>
      <c r="L51" s="501">
        <v>0</v>
      </c>
      <c r="M51" s="501">
        <v>0</v>
      </c>
      <c r="N51" s="501">
        <v>0</v>
      </c>
      <c r="O51" s="501">
        <v>0</v>
      </c>
    </row>
    <row r="52" spans="1:15" ht="28.5" customHeight="1" thickBot="1">
      <c r="A52" s="796" t="s">
        <v>263</v>
      </c>
      <c r="B52" s="796"/>
      <c r="C52" s="796"/>
      <c r="D52" s="796"/>
      <c r="E52" s="509">
        <f>E10+E13+E16+E25+E30+E33+E43+E46+E49+E38</f>
        <v>9952218</v>
      </c>
      <c r="F52" s="509">
        <f>F10+F13+F16+F25+F30+F33+F43+F46+F49+F38</f>
        <v>9895979.37</v>
      </c>
      <c r="G52" s="509">
        <f t="shared" si="19"/>
        <v>99.4349136041835</v>
      </c>
      <c r="H52" s="509">
        <f aca="true" t="shared" si="30" ref="H52:O52">H10+H13+H16+H25+H30+H33+H43+H46+H49+H38</f>
        <v>0</v>
      </c>
      <c r="I52" s="509">
        <f t="shared" si="30"/>
        <v>0</v>
      </c>
      <c r="J52" s="509">
        <f t="shared" si="30"/>
        <v>9895979.37</v>
      </c>
      <c r="K52" s="509">
        <f t="shared" si="30"/>
        <v>0</v>
      </c>
      <c r="L52" s="509">
        <f t="shared" si="30"/>
        <v>0</v>
      </c>
      <c r="M52" s="509">
        <f t="shared" si="30"/>
        <v>0</v>
      </c>
      <c r="N52" s="509">
        <f t="shared" si="30"/>
        <v>0</v>
      </c>
      <c r="O52" s="509">
        <f t="shared" si="30"/>
        <v>0</v>
      </c>
    </row>
    <row r="53" spans="1:15" ht="34.5" customHeight="1" thickBot="1">
      <c r="A53" s="797" t="s">
        <v>264</v>
      </c>
      <c r="B53" s="798"/>
      <c r="C53" s="798"/>
      <c r="D53" s="798"/>
      <c r="E53" s="799"/>
      <c r="F53" s="510"/>
      <c r="G53" s="511"/>
      <c r="H53" s="800">
        <f>SUM(H52:K52)</f>
        <v>9895979.37</v>
      </c>
      <c r="I53" s="800"/>
      <c r="J53" s="800"/>
      <c r="K53" s="800"/>
      <c r="L53" s="800">
        <f>SUM(L52:O52)</f>
        <v>0</v>
      </c>
      <c r="M53" s="800"/>
      <c r="N53" s="800"/>
      <c r="O53" s="800"/>
    </row>
    <row r="54" spans="9:14" ht="12.75">
      <c r="I54" s="512"/>
      <c r="J54" s="512"/>
      <c r="K54" s="512"/>
      <c r="L54" s="512"/>
      <c r="M54" s="512"/>
      <c r="N54" s="512"/>
    </row>
    <row r="55" spans="9:14" ht="12.75">
      <c r="I55" s="512"/>
      <c r="N55" s="512"/>
    </row>
  </sheetData>
  <sheetProtection/>
  <mergeCells count="15">
    <mergeCell ref="A52:D52"/>
    <mergeCell ref="G7:G9"/>
    <mergeCell ref="H7:O7"/>
    <mergeCell ref="H8:K8"/>
    <mergeCell ref="L8:O8"/>
    <mergeCell ref="A53:E53"/>
    <mergeCell ref="H53:K53"/>
    <mergeCell ref="L53:O53"/>
    <mergeCell ref="A2:O2"/>
    <mergeCell ref="A3:O3"/>
    <mergeCell ref="A7:A9"/>
    <mergeCell ref="B7:B9"/>
    <mergeCell ref="C7:C9"/>
    <mergeCell ref="E7:E9"/>
    <mergeCell ref="F7:F9"/>
  </mergeCells>
  <printOptions horizontalCentered="1"/>
  <pageMargins left="0.2755905511811024" right="0.2755905511811024" top="0.5118110236220472" bottom="0.5118110236220472" header="0.5118110236220472" footer="0"/>
  <pageSetup firstPageNumber="70" useFirstPageNumber="1" horizontalDpi="600" verticalDpi="600" orientation="landscape" paperSize="9" scale="90" r:id="rId1"/>
  <headerFooter alignWithMargins="0">
    <oddFooter>&amp;L&amp;P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0" zoomScaleNormal="80" zoomScalePageLayoutView="0" workbookViewId="0" topLeftCell="A1">
      <selection activeCell="M26" sqref="M26"/>
    </sheetView>
  </sheetViews>
  <sheetFormatPr defaultColWidth="9.00390625" defaultRowHeight="12.75"/>
  <cols>
    <col min="1" max="1" width="4.625" style="514" customWidth="1"/>
    <col min="2" max="2" width="5.625" style="515" customWidth="1"/>
    <col min="3" max="3" width="4.75390625" style="515" customWidth="1"/>
    <col min="4" max="4" width="59.375" style="516" customWidth="1"/>
    <col min="5" max="5" width="15.125" style="516" hidden="1" customWidth="1"/>
    <col min="6" max="6" width="16.875" style="517" customWidth="1"/>
    <col min="7" max="7" width="16.00390625" style="516" customWidth="1"/>
    <col min="8" max="8" width="6.875" style="516" customWidth="1"/>
    <col min="9" max="9" width="16.25390625" style="517" customWidth="1"/>
    <col min="10" max="16384" width="9.125" style="516" customWidth="1"/>
  </cols>
  <sheetData>
    <row r="1" ht="18.75">
      <c r="H1" s="518" t="s">
        <v>114</v>
      </c>
    </row>
    <row r="2" ht="18.75">
      <c r="H2" s="518"/>
    </row>
    <row r="3" ht="18.75">
      <c r="H3" s="518"/>
    </row>
    <row r="4" spans="1:8" ht="19.5" customHeight="1">
      <c r="A4" s="801" t="s">
        <v>74</v>
      </c>
      <c r="B4" s="801"/>
      <c r="C4" s="801"/>
      <c r="D4" s="801"/>
      <c r="E4" s="801"/>
      <c r="F4" s="801"/>
      <c r="G4" s="801"/>
      <c r="H4" s="801"/>
    </row>
    <row r="5" spans="1:8" ht="20.25" customHeight="1">
      <c r="A5" s="801" t="s">
        <v>637</v>
      </c>
      <c r="B5" s="801"/>
      <c r="C5" s="801"/>
      <c r="D5" s="801"/>
      <c r="E5" s="801"/>
      <c r="F5" s="801"/>
      <c r="G5" s="801"/>
      <c r="H5" s="801"/>
    </row>
    <row r="6" spans="1:8" ht="21" customHeight="1">
      <c r="A6" s="520"/>
      <c r="B6" s="519"/>
      <c r="C6" s="519"/>
      <c r="D6" s="519"/>
      <c r="E6" s="519"/>
      <c r="F6" s="519"/>
      <c r="G6" s="519"/>
      <c r="H6" s="519"/>
    </row>
    <row r="7" spans="1:8" ht="21" customHeight="1" thickBot="1">
      <c r="A7" s="520"/>
      <c r="B7" s="519"/>
      <c r="C7" s="519"/>
      <c r="D7" s="519"/>
      <c r="E7" s="519"/>
      <c r="F7" s="519"/>
      <c r="G7" s="519"/>
      <c r="H7" s="519"/>
    </row>
    <row r="8" spans="1:9" s="521" customFormat="1" ht="20.25" customHeight="1" thickBot="1">
      <c r="A8" s="514"/>
      <c r="B8" s="515"/>
      <c r="C8" s="515"/>
      <c r="D8" s="516"/>
      <c r="F8" s="522" t="s">
        <v>121</v>
      </c>
      <c r="G8" s="523" t="s">
        <v>122</v>
      </c>
      <c r="H8" s="516"/>
      <c r="I8" s="517"/>
    </row>
    <row r="9" spans="1:9" s="521" customFormat="1" ht="23.25" customHeight="1">
      <c r="A9" s="524"/>
      <c r="B9" s="525"/>
      <c r="C9" s="525"/>
      <c r="D9" s="526" t="s">
        <v>77</v>
      </c>
      <c r="E9" s="527" t="e">
        <f>SUM(#REF!)</f>
        <v>#REF!</v>
      </c>
      <c r="F9" s="527">
        <f>SUM(F11:F11)</f>
        <v>2139392</v>
      </c>
      <c r="G9" s="527">
        <f>SUM(G11:G11)</f>
        <v>2139391.78</v>
      </c>
      <c r="H9" s="528">
        <f>G9/F9*100</f>
        <v>99.99998971670455</v>
      </c>
      <c r="I9" s="517"/>
    </row>
    <row r="10" spans="1:9" s="521" customFormat="1" ht="20.25" customHeight="1">
      <c r="A10" s="529"/>
      <c r="B10" s="530" t="s">
        <v>78</v>
      </c>
      <c r="C10" s="530"/>
      <c r="D10" s="531"/>
      <c r="E10" s="532"/>
      <c r="F10" s="532"/>
      <c r="G10" s="532"/>
      <c r="H10" s="533"/>
      <c r="I10" s="517"/>
    </row>
    <row r="11" spans="1:8" ht="19.5" thickBot="1">
      <c r="A11" s="534"/>
      <c r="B11" s="535"/>
      <c r="C11" s="536" t="s">
        <v>369</v>
      </c>
      <c r="D11" s="537" t="s">
        <v>370</v>
      </c>
      <c r="E11" s="538">
        <v>356872</v>
      </c>
      <c r="F11" s="538">
        <v>2139392</v>
      </c>
      <c r="G11" s="538">
        <v>2139391.78</v>
      </c>
      <c r="H11" s="539">
        <f>G11/F11*100</f>
        <v>99.99998971670455</v>
      </c>
    </row>
    <row r="12" spans="1:9" ht="18.75">
      <c r="A12" s="540"/>
      <c r="B12" s="541"/>
      <c r="C12" s="541"/>
      <c r="D12" s="542"/>
      <c r="E12" s="543"/>
      <c r="F12" s="544"/>
      <c r="G12" s="544"/>
      <c r="H12" s="543"/>
      <c r="I12" s="545"/>
    </row>
    <row r="13" spans="1:9" ht="18.75">
      <c r="A13" s="540"/>
      <c r="B13" s="541"/>
      <c r="C13" s="541"/>
      <c r="D13" s="542"/>
      <c r="E13" s="543"/>
      <c r="F13" s="544"/>
      <c r="G13" s="544"/>
      <c r="H13" s="543"/>
      <c r="I13" s="545"/>
    </row>
    <row r="14" spans="1:9" ht="18.75">
      <c r="A14" s="540"/>
      <c r="B14" s="541"/>
      <c r="C14" s="541"/>
      <c r="D14" s="546" t="s">
        <v>12</v>
      </c>
      <c r="E14" s="547" t="e">
        <f>E12+#REF!</f>
        <v>#REF!</v>
      </c>
      <c r="F14" s="547">
        <f>'Dochody wł'!E173+'Dochody admi'!E52</f>
        <v>66583754</v>
      </c>
      <c r="G14" s="547">
        <f>'Dochody wł'!F173+'Dochody admi'!F52</f>
        <v>67902025.35</v>
      </c>
      <c r="H14" s="548">
        <f>G14/F14*100</f>
        <v>101.9798693687352</v>
      </c>
      <c r="I14" s="545"/>
    </row>
    <row r="15" spans="1:9" ht="18.75">
      <c r="A15" s="540"/>
      <c r="B15" s="541"/>
      <c r="C15" s="541"/>
      <c r="D15" s="542"/>
      <c r="E15" s="543"/>
      <c r="F15" s="544"/>
      <c r="G15" s="544"/>
      <c r="H15" s="543"/>
      <c r="I15" s="545"/>
    </row>
    <row r="16" spans="1:9" ht="18.75">
      <c r="A16" s="540"/>
      <c r="B16" s="541"/>
      <c r="C16" s="541"/>
      <c r="D16" s="549" t="s">
        <v>113</v>
      </c>
      <c r="E16" s="550" t="e">
        <f>#REF!+#REF!</f>
        <v>#REF!</v>
      </c>
      <c r="F16" s="547">
        <f>F9+F14</f>
        <v>68723146</v>
      </c>
      <c r="G16" s="547">
        <f>G14+G9</f>
        <v>70041417.13</v>
      </c>
      <c r="H16" s="548">
        <f>G16/F16*100</f>
        <v>101.91823454939038</v>
      </c>
      <c r="I16" s="545"/>
    </row>
    <row r="17" spans="2:9" ht="18.75">
      <c r="B17" s="551"/>
      <c r="D17" s="521"/>
      <c r="G17" s="517"/>
      <c r="I17" s="545"/>
    </row>
    <row r="18" spans="6:7" ht="18.75">
      <c r="F18" s="545"/>
      <c r="G18" s="521"/>
    </row>
    <row r="19" spans="2:7" ht="18.75">
      <c r="B19" s="551"/>
      <c r="F19" s="545"/>
      <c r="G19" s="521"/>
    </row>
    <row r="20" spans="6:7" ht="18.75">
      <c r="F20" s="545"/>
      <c r="G20" s="521"/>
    </row>
  </sheetData>
  <sheetProtection/>
  <mergeCells count="2">
    <mergeCell ref="A4:H4"/>
    <mergeCell ref="A5:H5"/>
  </mergeCells>
  <printOptions horizontalCentered="1"/>
  <pageMargins left="0.2755905511811024" right="0.2755905511811024" top="0.6299212598425197" bottom="0.7874015748031497" header="0.4724409448818898" footer="0.3937007874015748"/>
  <pageSetup firstPageNumber="72" useFirstPageNumber="1" horizontalDpi="600" verticalDpi="600" orientation="portrait" paperSize="9" scale="80" r:id="rId1"/>
  <headerFooter alignWithMargins="0"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95"/>
  <sheetViews>
    <sheetView zoomScale="130" zoomScaleNormal="130" zoomScalePageLayoutView="0" workbookViewId="0" topLeftCell="A7">
      <pane ySplit="3570" topLeftCell="A480" activePane="bottomLeft" state="split"/>
      <selection pane="topLeft" activeCell="A7" sqref="A1:IV16384"/>
      <selection pane="bottomLeft" activeCell="L500" sqref="L500"/>
    </sheetView>
  </sheetViews>
  <sheetFormatPr defaultColWidth="9.00390625" defaultRowHeight="12.75"/>
  <cols>
    <col min="1" max="1" width="3.75390625" style="552" customWidth="1"/>
    <col min="2" max="2" width="5.875" style="552" customWidth="1"/>
    <col min="3" max="3" width="4.875" style="552" customWidth="1"/>
    <col min="4" max="4" width="8.625" style="552" customWidth="1"/>
    <col min="5" max="5" width="8.375" style="552" customWidth="1"/>
    <col min="6" max="6" width="4.25390625" style="552" customWidth="1"/>
    <col min="7" max="7" width="8.625" style="552" customWidth="1"/>
    <col min="8" max="9" width="9.375" style="552" customWidth="1"/>
    <col min="10" max="10" width="8.75390625" style="552" customWidth="1"/>
    <col min="11" max="12" width="7.625" style="552" customWidth="1"/>
    <col min="13" max="13" width="8.00390625" style="552" customWidth="1"/>
    <col min="14" max="14" width="7.25390625" style="552" customWidth="1"/>
    <col min="15" max="15" width="7.625" style="552" customWidth="1"/>
    <col min="16" max="16" width="9.25390625" style="552" customWidth="1"/>
    <col min="17" max="17" width="8.00390625" style="552" customWidth="1"/>
    <col min="18" max="18" width="8.375" style="552" customWidth="1"/>
    <col min="19" max="19" width="8.00390625" style="552" customWidth="1"/>
    <col min="20" max="16384" width="9.125" style="552" customWidth="1"/>
  </cols>
  <sheetData>
    <row r="1" ht="12.75">
      <c r="S1" s="482" t="s">
        <v>115</v>
      </c>
    </row>
    <row r="2" spans="1:19" ht="18.75" customHeight="1">
      <c r="A2" s="816" t="s">
        <v>74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</row>
    <row r="3" spans="1:19" ht="18" customHeight="1">
      <c r="A3" s="816" t="s">
        <v>637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</row>
    <row r="5" ht="12.75">
      <c r="A5" s="553" t="s">
        <v>287</v>
      </c>
    </row>
    <row r="6" ht="13.5" thickBot="1"/>
    <row r="7" spans="1:19" ht="9.75" customHeight="1" thickTop="1">
      <c r="A7" s="820" t="s">
        <v>131</v>
      </c>
      <c r="B7" s="825" t="s">
        <v>132</v>
      </c>
      <c r="C7" s="825" t="s">
        <v>230</v>
      </c>
      <c r="D7" s="826" t="s">
        <v>121</v>
      </c>
      <c r="E7" s="805" t="s">
        <v>122</v>
      </c>
      <c r="F7" s="808" t="s">
        <v>276</v>
      </c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10"/>
    </row>
    <row r="8" spans="1:19" ht="11.25" customHeight="1">
      <c r="A8" s="821"/>
      <c r="B8" s="803"/>
      <c r="C8" s="803"/>
      <c r="D8" s="811"/>
      <c r="E8" s="806"/>
      <c r="F8" s="811" t="s">
        <v>13</v>
      </c>
      <c r="G8" s="802" t="s">
        <v>277</v>
      </c>
      <c r="H8" s="802" t="s">
        <v>278</v>
      </c>
      <c r="I8" s="802"/>
      <c r="J8" s="802"/>
      <c r="K8" s="802"/>
      <c r="L8" s="802"/>
      <c r="M8" s="802"/>
      <c r="N8" s="802"/>
      <c r="O8" s="802"/>
      <c r="P8" s="802" t="s">
        <v>279</v>
      </c>
      <c r="Q8" s="817" t="s">
        <v>278</v>
      </c>
      <c r="R8" s="818"/>
      <c r="S8" s="819"/>
    </row>
    <row r="9" spans="1:19" ht="6.75" customHeight="1">
      <c r="A9" s="821"/>
      <c r="B9" s="803"/>
      <c r="C9" s="803"/>
      <c r="D9" s="811"/>
      <c r="E9" s="806"/>
      <c r="F9" s="812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 t="s">
        <v>280</v>
      </c>
      <c r="R9" s="814" t="s">
        <v>78</v>
      </c>
      <c r="S9" s="823" t="s">
        <v>291</v>
      </c>
    </row>
    <row r="10" spans="1:19" ht="5.25" customHeight="1">
      <c r="A10" s="821"/>
      <c r="B10" s="803"/>
      <c r="C10" s="803"/>
      <c r="D10" s="811"/>
      <c r="E10" s="806"/>
      <c r="F10" s="812"/>
      <c r="G10" s="803"/>
      <c r="H10" s="803" t="s">
        <v>288</v>
      </c>
      <c r="I10" s="803" t="s">
        <v>278</v>
      </c>
      <c r="J10" s="803"/>
      <c r="K10" s="803" t="s">
        <v>281</v>
      </c>
      <c r="L10" s="803" t="s">
        <v>290</v>
      </c>
      <c r="M10" s="803" t="s">
        <v>282</v>
      </c>
      <c r="N10" s="803" t="s">
        <v>283</v>
      </c>
      <c r="O10" s="803" t="s">
        <v>284</v>
      </c>
      <c r="P10" s="803"/>
      <c r="Q10" s="803"/>
      <c r="R10" s="802"/>
      <c r="S10" s="823"/>
    </row>
    <row r="11" spans="1:19" ht="6" customHeight="1">
      <c r="A11" s="821"/>
      <c r="B11" s="803"/>
      <c r="C11" s="803"/>
      <c r="D11" s="811"/>
      <c r="E11" s="806"/>
      <c r="F11" s="812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14" t="s">
        <v>292</v>
      </c>
      <c r="S11" s="823"/>
    </row>
    <row r="12" spans="1:19" ht="85.5" customHeight="1" thickBot="1">
      <c r="A12" s="822"/>
      <c r="B12" s="804"/>
      <c r="C12" s="804"/>
      <c r="D12" s="815"/>
      <c r="E12" s="807"/>
      <c r="F12" s="813"/>
      <c r="G12" s="804"/>
      <c r="H12" s="804"/>
      <c r="I12" s="558" t="s">
        <v>285</v>
      </c>
      <c r="J12" s="558" t="s">
        <v>289</v>
      </c>
      <c r="K12" s="804"/>
      <c r="L12" s="804"/>
      <c r="M12" s="804"/>
      <c r="N12" s="804"/>
      <c r="O12" s="804"/>
      <c r="P12" s="804"/>
      <c r="Q12" s="804"/>
      <c r="R12" s="815"/>
      <c r="S12" s="824"/>
    </row>
    <row r="13" spans="1:19" ht="14.25" customHeight="1" thickTop="1">
      <c r="A13" s="555" t="s">
        <v>31</v>
      </c>
      <c r="B13" s="555"/>
      <c r="C13" s="556"/>
      <c r="D13" s="559">
        <f>D14</f>
        <v>40000</v>
      </c>
      <c r="E13" s="559">
        <f>E14</f>
        <v>40000</v>
      </c>
      <c r="F13" s="560">
        <f>E13/D13*100</f>
        <v>100</v>
      </c>
      <c r="G13" s="559">
        <f aca="true" t="shared" si="0" ref="G13:S13">G14</f>
        <v>40000</v>
      </c>
      <c r="H13" s="559">
        <f t="shared" si="0"/>
        <v>0</v>
      </c>
      <c r="I13" s="559">
        <f t="shared" si="0"/>
        <v>0</v>
      </c>
      <c r="J13" s="559">
        <f t="shared" si="0"/>
        <v>0</v>
      </c>
      <c r="K13" s="559">
        <f t="shared" si="0"/>
        <v>40000</v>
      </c>
      <c r="L13" s="559">
        <f t="shared" si="0"/>
        <v>0</v>
      </c>
      <c r="M13" s="559">
        <f t="shared" si="0"/>
        <v>0</v>
      </c>
      <c r="N13" s="559">
        <f t="shared" si="0"/>
        <v>0</v>
      </c>
      <c r="O13" s="559">
        <f t="shared" si="0"/>
        <v>0</v>
      </c>
      <c r="P13" s="559">
        <f t="shared" si="0"/>
        <v>0</v>
      </c>
      <c r="Q13" s="559">
        <f t="shared" si="0"/>
        <v>0</v>
      </c>
      <c r="R13" s="559">
        <f t="shared" si="0"/>
        <v>0</v>
      </c>
      <c r="S13" s="559">
        <f t="shared" si="0"/>
        <v>0</v>
      </c>
    </row>
    <row r="14" spans="1:19" ht="14.25" customHeight="1">
      <c r="A14" s="557"/>
      <c r="B14" s="554" t="s">
        <v>501</v>
      </c>
      <c r="C14" s="554"/>
      <c r="D14" s="560">
        <f>SUM(D15:D15)</f>
        <v>40000</v>
      </c>
      <c r="E14" s="560">
        <f>SUM(E15:E15)</f>
        <v>40000</v>
      </c>
      <c r="F14" s="560">
        <f>E14/D14*100</f>
        <v>100</v>
      </c>
      <c r="G14" s="560">
        <f aca="true" t="shared" si="1" ref="G14:S14">SUM(G15:G15)</f>
        <v>40000</v>
      </c>
      <c r="H14" s="560">
        <f t="shared" si="1"/>
        <v>0</v>
      </c>
      <c r="I14" s="560">
        <f t="shared" si="1"/>
        <v>0</v>
      </c>
      <c r="J14" s="560">
        <f t="shared" si="1"/>
        <v>0</v>
      </c>
      <c r="K14" s="560">
        <f t="shared" si="1"/>
        <v>40000</v>
      </c>
      <c r="L14" s="560">
        <f t="shared" si="1"/>
        <v>0</v>
      </c>
      <c r="M14" s="560">
        <f t="shared" si="1"/>
        <v>0</v>
      </c>
      <c r="N14" s="560">
        <f t="shared" si="1"/>
        <v>0</v>
      </c>
      <c r="O14" s="560">
        <f t="shared" si="1"/>
        <v>0</v>
      </c>
      <c r="P14" s="560">
        <f t="shared" si="1"/>
        <v>0</v>
      </c>
      <c r="Q14" s="560">
        <f t="shared" si="1"/>
        <v>0</v>
      </c>
      <c r="R14" s="560">
        <f t="shared" si="1"/>
        <v>0</v>
      </c>
      <c r="S14" s="560">
        <f t="shared" si="1"/>
        <v>0</v>
      </c>
    </row>
    <row r="15" spans="1:19" ht="14.25" customHeight="1">
      <c r="A15" s="561"/>
      <c r="B15" s="561"/>
      <c r="C15" s="562" t="s">
        <v>545</v>
      </c>
      <c r="D15" s="563">
        <v>40000</v>
      </c>
      <c r="E15" s="563">
        <f>G15+P15</f>
        <v>40000</v>
      </c>
      <c r="F15" s="563">
        <f>E15/D15*100</f>
        <v>100</v>
      </c>
      <c r="G15" s="563">
        <f>H15+K15+L15+M15+N15+O15</f>
        <v>40000</v>
      </c>
      <c r="H15" s="563">
        <f>SUM(I15:J15)</f>
        <v>0</v>
      </c>
      <c r="I15" s="563">
        <v>0</v>
      </c>
      <c r="J15" s="563">
        <v>0</v>
      </c>
      <c r="K15" s="563">
        <v>40000</v>
      </c>
      <c r="L15" s="563">
        <v>0</v>
      </c>
      <c r="M15" s="563">
        <v>0</v>
      </c>
      <c r="N15" s="563">
        <v>0</v>
      </c>
      <c r="O15" s="563">
        <v>0</v>
      </c>
      <c r="P15" s="563">
        <f>Q15+S15</f>
        <v>0</v>
      </c>
      <c r="Q15" s="563">
        <v>0</v>
      </c>
      <c r="R15" s="564">
        <v>0</v>
      </c>
      <c r="S15" s="563">
        <v>0</v>
      </c>
    </row>
    <row r="16" spans="1:19" ht="13.5" customHeight="1">
      <c r="A16" s="557" t="s">
        <v>14</v>
      </c>
      <c r="B16" s="557"/>
      <c r="C16" s="554"/>
      <c r="D16" s="560">
        <f>D17+D20</f>
        <v>92000</v>
      </c>
      <c r="E16" s="560">
        <f>E17+E20</f>
        <v>88478.95</v>
      </c>
      <c r="F16" s="560">
        <f aca="true" t="shared" si="2" ref="F16:F21">E16/D16*100</f>
        <v>96.17277173913044</v>
      </c>
      <c r="G16" s="560">
        <f aca="true" t="shared" si="3" ref="G16:S16">G17+G20</f>
        <v>88478.95</v>
      </c>
      <c r="H16" s="560">
        <f t="shared" si="3"/>
        <v>7876.87</v>
      </c>
      <c r="I16" s="560">
        <f t="shared" si="3"/>
        <v>7500</v>
      </c>
      <c r="J16" s="560">
        <f t="shared" si="3"/>
        <v>376.87</v>
      </c>
      <c r="K16" s="560">
        <f t="shared" si="3"/>
        <v>0</v>
      </c>
      <c r="L16" s="560">
        <f t="shared" si="3"/>
        <v>80602.08</v>
      </c>
      <c r="M16" s="560">
        <f t="shared" si="3"/>
        <v>0</v>
      </c>
      <c r="N16" s="560">
        <f t="shared" si="3"/>
        <v>0</v>
      </c>
      <c r="O16" s="560">
        <f t="shared" si="3"/>
        <v>0</v>
      </c>
      <c r="P16" s="560">
        <f t="shared" si="3"/>
        <v>0</v>
      </c>
      <c r="Q16" s="560">
        <f t="shared" si="3"/>
        <v>0</v>
      </c>
      <c r="R16" s="560">
        <f t="shared" si="3"/>
        <v>0</v>
      </c>
      <c r="S16" s="560">
        <f t="shared" si="3"/>
        <v>0</v>
      </c>
    </row>
    <row r="17" spans="1:19" ht="13.5" customHeight="1">
      <c r="A17" s="557"/>
      <c r="B17" s="554" t="s">
        <v>73</v>
      </c>
      <c r="C17" s="554"/>
      <c r="D17" s="560">
        <f>SUM(D18:D19)</f>
        <v>90500</v>
      </c>
      <c r="E17" s="560">
        <f>SUM(E18:E19)</f>
        <v>88102.08</v>
      </c>
      <c r="F17" s="560">
        <f t="shared" si="2"/>
        <v>97.35036464088398</v>
      </c>
      <c r="G17" s="560">
        <f aca="true" t="shared" si="4" ref="G17:S17">SUM(G18:G19)</f>
        <v>88102.08</v>
      </c>
      <c r="H17" s="560">
        <f t="shared" si="4"/>
        <v>7500</v>
      </c>
      <c r="I17" s="560">
        <f t="shared" si="4"/>
        <v>7500</v>
      </c>
      <c r="J17" s="560">
        <f t="shared" si="4"/>
        <v>0</v>
      </c>
      <c r="K17" s="560">
        <f t="shared" si="4"/>
        <v>0</v>
      </c>
      <c r="L17" s="560">
        <f t="shared" si="4"/>
        <v>80602.08</v>
      </c>
      <c r="M17" s="560">
        <f t="shared" si="4"/>
        <v>0</v>
      </c>
      <c r="N17" s="560">
        <f t="shared" si="4"/>
        <v>0</v>
      </c>
      <c r="O17" s="560">
        <f t="shared" si="4"/>
        <v>0</v>
      </c>
      <c r="P17" s="560">
        <f t="shared" si="4"/>
        <v>0</v>
      </c>
      <c r="Q17" s="560">
        <f t="shared" si="4"/>
        <v>0</v>
      </c>
      <c r="R17" s="560">
        <f t="shared" si="4"/>
        <v>0</v>
      </c>
      <c r="S17" s="560">
        <f t="shared" si="4"/>
        <v>0</v>
      </c>
    </row>
    <row r="18" spans="1:19" ht="13.5" customHeight="1">
      <c r="A18" s="561"/>
      <c r="B18" s="561"/>
      <c r="C18" s="562" t="s">
        <v>323</v>
      </c>
      <c r="D18" s="563">
        <v>83000</v>
      </c>
      <c r="E18" s="563">
        <f>G18+P18</f>
        <v>80602.08</v>
      </c>
      <c r="F18" s="563">
        <f t="shared" si="2"/>
        <v>97.11093975903614</v>
      </c>
      <c r="G18" s="563">
        <f>H18+K18+L18+M18+N18+O18</f>
        <v>80602.08</v>
      </c>
      <c r="H18" s="563">
        <f>SUM(I18:J18)</f>
        <v>0</v>
      </c>
      <c r="I18" s="563">
        <v>0</v>
      </c>
      <c r="J18" s="563">
        <v>0</v>
      </c>
      <c r="K18" s="563">
        <v>0</v>
      </c>
      <c r="L18" s="563">
        <v>80602.08</v>
      </c>
      <c r="M18" s="563">
        <v>0</v>
      </c>
      <c r="N18" s="563">
        <v>0</v>
      </c>
      <c r="O18" s="563">
        <v>0</v>
      </c>
      <c r="P18" s="563">
        <f>Q18+S18</f>
        <v>0</v>
      </c>
      <c r="Q18" s="563">
        <v>0</v>
      </c>
      <c r="R18" s="564">
        <v>0</v>
      </c>
      <c r="S18" s="563">
        <v>0</v>
      </c>
    </row>
    <row r="19" spans="1:19" ht="13.5" customHeight="1">
      <c r="A19" s="561"/>
      <c r="B19" s="561"/>
      <c r="C19" s="562" t="s">
        <v>305</v>
      </c>
      <c r="D19" s="563">
        <v>7500</v>
      </c>
      <c r="E19" s="563">
        <f>G19+P19</f>
        <v>7500</v>
      </c>
      <c r="F19" s="563">
        <f t="shared" si="2"/>
        <v>100</v>
      </c>
      <c r="G19" s="563">
        <f>H19+K19+L19+M19+N19+O19</f>
        <v>7500</v>
      </c>
      <c r="H19" s="563">
        <f>SUM(I19:J19)</f>
        <v>7500</v>
      </c>
      <c r="I19" s="563">
        <v>7500</v>
      </c>
      <c r="J19" s="563">
        <v>0</v>
      </c>
      <c r="K19" s="563">
        <v>0</v>
      </c>
      <c r="L19" s="563">
        <v>0</v>
      </c>
      <c r="M19" s="563">
        <v>0</v>
      </c>
      <c r="N19" s="563">
        <v>0</v>
      </c>
      <c r="O19" s="563">
        <v>0</v>
      </c>
      <c r="P19" s="563">
        <f>Q19+S19</f>
        <v>0</v>
      </c>
      <c r="Q19" s="563">
        <v>0</v>
      </c>
      <c r="R19" s="564">
        <v>0</v>
      </c>
      <c r="S19" s="563">
        <v>0</v>
      </c>
    </row>
    <row r="20" spans="1:19" ht="13.5" customHeight="1">
      <c r="A20" s="561"/>
      <c r="B20" s="554" t="s">
        <v>324</v>
      </c>
      <c r="C20" s="554"/>
      <c r="D20" s="560">
        <f>SUM(D21:D22)</f>
        <v>1500</v>
      </c>
      <c r="E20" s="560">
        <f>SUM(E21:E22)</f>
        <v>376.87</v>
      </c>
      <c r="F20" s="560">
        <f t="shared" si="2"/>
        <v>25.124666666666666</v>
      </c>
      <c r="G20" s="560">
        <f aca="true" t="shared" si="5" ref="G20:S20">SUM(G21:G22)</f>
        <v>376.87</v>
      </c>
      <c r="H20" s="560">
        <f t="shared" si="5"/>
        <v>376.87</v>
      </c>
      <c r="I20" s="560">
        <f t="shared" si="5"/>
        <v>0</v>
      </c>
      <c r="J20" s="560">
        <f t="shared" si="5"/>
        <v>376.87</v>
      </c>
      <c r="K20" s="560">
        <f t="shared" si="5"/>
        <v>0</v>
      </c>
      <c r="L20" s="560">
        <f t="shared" si="5"/>
        <v>0</v>
      </c>
      <c r="M20" s="560">
        <f t="shared" si="5"/>
        <v>0</v>
      </c>
      <c r="N20" s="560">
        <f t="shared" si="5"/>
        <v>0</v>
      </c>
      <c r="O20" s="560">
        <f t="shared" si="5"/>
        <v>0</v>
      </c>
      <c r="P20" s="560">
        <f t="shared" si="5"/>
        <v>0</v>
      </c>
      <c r="Q20" s="560">
        <f t="shared" si="5"/>
        <v>0</v>
      </c>
      <c r="R20" s="560">
        <f t="shared" si="5"/>
        <v>0</v>
      </c>
      <c r="S20" s="560">
        <f t="shared" si="5"/>
        <v>0</v>
      </c>
    </row>
    <row r="21" spans="1:19" ht="13.5" customHeight="1">
      <c r="A21" s="561"/>
      <c r="B21" s="561"/>
      <c r="C21" s="562" t="s">
        <v>123</v>
      </c>
      <c r="D21" s="563">
        <v>1000</v>
      </c>
      <c r="E21" s="563">
        <f>G21+P21</f>
        <v>344.4</v>
      </c>
      <c r="F21" s="563">
        <f t="shared" si="2"/>
        <v>34.44</v>
      </c>
      <c r="G21" s="563">
        <f>H21+K21+L21+M21+N21+O21</f>
        <v>344.4</v>
      </c>
      <c r="H21" s="563">
        <f>SUM(I21:J21)</f>
        <v>344.4</v>
      </c>
      <c r="I21" s="563">
        <v>0</v>
      </c>
      <c r="J21" s="563">
        <v>344.4</v>
      </c>
      <c r="K21" s="563">
        <v>0</v>
      </c>
      <c r="L21" s="563">
        <v>0</v>
      </c>
      <c r="M21" s="563">
        <v>0</v>
      </c>
      <c r="N21" s="563">
        <v>0</v>
      </c>
      <c r="O21" s="563">
        <v>0</v>
      </c>
      <c r="P21" s="563">
        <f>Q21+S21</f>
        <v>0</v>
      </c>
      <c r="Q21" s="563">
        <v>0</v>
      </c>
      <c r="R21" s="564">
        <v>0</v>
      </c>
      <c r="S21" s="563">
        <v>0</v>
      </c>
    </row>
    <row r="22" spans="1:19" ht="13.5" customHeight="1">
      <c r="A22" s="561"/>
      <c r="B22" s="561"/>
      <c r="C22" s="562" t="s">
        <v>125</v>
      </c>
      <c r="D22" s="563">
        <v>500</v>
      </c>
      <c r="E22" s="563">
        <f>G22+P22</f>
        <v>32.47</v>
      </c>
      <c r="F22" s="563">
        <f>E22/D22*100</f>
        <v>6.494</v>
      </c>
      <c r="G22" s="563">
        <f>H22+K22+L22+M22+N22+O22</f>
        <v>32.47</v>
      </c>
      <c r="H22" s="563">
        <f>SUM(I22:J22)</f>
        <v>32.47</v>
      </c>
      <c r="I22" s="563">
        <v>0</v>
      </c>
      <c r="J22" s="563">
        <v>32.47</v>
      </c>
      <c r="K22" s="563">
        <v>0</v>
      </c>
      <c r="L22" s="563">
        <v>0</v>
      </c>
      <c r="M22" s="563">
        <v>0</v>
      </c>
      <c r="N22" s="563">
        <v>0</v>
      </c>
      <c r="O22" s="563">
        <v>0</v>
      </c>
      <c r="P22" s="563">
        <f>Q22+S22</f>
        <v>0</v>
      </c>
      <c r="Q22" s="563">
        <v>0</v>
      </c>
      <c r="R22" s="564">
        <v>0</v>
      </c>
      <c r="S22" s="563">
        <v>0</v>
      </c>
    </row>
    <row r="23" spans="1:19" ht="13.5" customHeight="1">
      <c r="A23" s="557" t="s">
        <v>15</v>
      </c>
      <c r="B23" s="557"/>
      <c r="C23" s="554"/>
      <c r="D23" s="560">
        <f>D24+D34</f>
        <v>7320399</v>
      </c>
      <c r="E23" s="560">
        <f>E24+E34</f>
        <v>7039944.3</v>
      </c>
      <c r="F23" s="560">
        <f aca="true" t="shared" si="6" ref="F23:F48">E23/D23*100</f>
        <v>96.16886046785154</v>
      </c>
      <c r="G23" s="560">
        <f aca="true" t="shared" si="7" ref="G23:S23">G24+G34</f>
        <v>1508571.71</v>
      </c>
      <c r="H23" s="560">
        <f t="shared" si="7"/>
        <v>1508571.71</v>
      </c>
      <c r="I23" s="560">
        <f t="shared" si="7"/>
        <v>9871.28</v>
      </c>
      <c r="J23" s="560">
        <f t="shared" si="7"/>
        <v>1498700.4300000002</v>
      </c>
      <c r="K23" s="560">
        <f t="shared" si="7"/>
        <v>0</v>
      </c>
      <c r="L23" s="560">
        <f t="shared" si="7"/>
        <v>0</v>
      </c>
      <c r="M23" s="560">
        <f t="shared" si="7"/>
        <v>0</v>
      </c>
      <c r="N23" s="560">
        <f t="shared" si="7"/>
        <v>0</v>
      </c>
      <c r="O23" s="560">
        <f t="shared" si="7"/>
        <v>0</v>
      </c>
      <c r="P23" s="560">
        <f t="shared" si="7"/>
        <v>5531372.59</v>
      </c>
      <c r="Q23" s="560">
        <f t="shared" si="7"/>
        <v>5531372.59</v>
      </c>
      <c r="R23" s="560">
        <f t="shared" si="7"/>
        <v>0</v>
      </c>
      <c r="S23" s="560">
        <f t="shared" si="7"/>
        <v>0</v>
      </c>
    </row>
    <row r="24" spans="1:19" ht="13.5" customHeight="1">
      <c r="A24" s="557"/>
      <c r="B24" s="554" t="s">
        <v>16</v>
      </c>
      <c r="C24" s="554"/>
      <c r="D24" s="560">
        <f>SUM(D25:D33)</f>
        <v>7320399</v>
      </c>
      <c r="E24" s="560">
        <f>SUM(E25:E33)</f>
        <v>7039944.3</v>
      </c>
      <c r="F24" s="560">
        <f t="shared" si="6"/>
        <v>96.16886046785154</v>
      </c>
      <c r="G24" s="560">
        <f aca="true" t="shared" si="8" ref="G24:S24">SUM(G25:G33)</f>
        <v>1508571.71</v>
      </c>
      <c r="H24" s="560">
        <f t="shared" si="8"/>
        <v>1508571.71</v>
      </c>
      <c r="I24" s="560">
        <f t="shared" si="8"/>
        <v>9871.28</v>
      </c>
      <c r="J24" s="560">
        <f t="shared" si="8"/>
        <v>1498700.4300000002</v>
      </c>
      <c r="K24" s="560">
        <f t="shared" si="8"/>
        <v>0</v>
      </c>
      <c r="L24" s="560">
        <f t="shared" si="8"/>
        <v>0</v>
      </c>
      <c r="M24" s="560">
        <f t="shared" si="8"/>
        <v>0</v>
      </c>
      <c r="N24" s="560">
        <f t="shared" si="8"/>
        <v>0</v>
      </c>
      <c r="O24" s="560">
        <f t="shared" si="8"/>
        <v>0</v>
      </c>
      <c r="P24" s="560">
        <f t="shared" si="8"/>
        <v>5531372.59</v>
      </c>
      <c r="Q24" s="560">
        <f t="shared" si="8"/>
        <v>5531372.59</v>
      </c>
      <c r="R24" s="560">
        <f t="shared" si="8"/>
        <v>0</v>
      </c>
      <c r="S24" s="560">
        <f t="shared" si="8"/>
        <v>0</v>
      </c>
    </row>
    <row r="25" spans="1:19" ht="13.5" customHeight="1">
      <c r="A25" s="561"/>
      <c r="B25" s="561"/>
      <c r="C25" s="562" t="s">
        <v>297</v>
      </c>
      <c r="D25" s="563">
        <v>894</v>
      </c>
      <c r="E25" s="563">
        <f aca="true" t="shared" si="9" ref="E25:E33">G25+P25</f>
        <v>893.88</v>
      </c>
      <c r="F25" s="563">
        <f t="shared" si="6"/>
        <v>99.98657718120806</v>
      </c>
      <c r="G25" s="563">
        <f aca="true" t="shared" si="10" ref="G25:G33">H25+K25+L25+M25+N25+O25</f>
        <v>893.88</v>
      </c>
      <c r="H25" s="563">
        <f aca="true" t="shared" si="11" ref="H25:H33">SUM(I25:J25)</f>
        <v>893.88</v>
      </c>
      <c r="I25" s="563">
        <v>893.88</v>
      </c>
      <c r="J25" s="563">
        <v>0</v>
      </c>
      <c r="K25" s="563">
        <v>0</v>
      </c>
      <c r="L25" s="563">
        <v>0</v>
      </c>
      <c r="M25" s="563">
        <v>0</v>
      </c>
      <c r="N25" s="563">
        <v>0</v>
      </c>
      <c r="O25" s="563">
        <v>0</v>
      </c>
      <c r="P25" s="563">
        <f aca="true" t="shared" si="12" ref="P25:P33">Q25+S25</f>
        <v>0</v>
      </c>
      <c r="Q25" s="563">
        <v>0</v>
      </c>
      <c r="R25" s="564">
        <v>0</v>
      </c>
      <c r="S25" s="563">
        <v>0</v>
      </c>
    </row>
    <row r="26" spans="1:19" ht="13.5" customHeight="1">
      <c r="A26" s="561"/>
      <c r="B26" s="561"/>
      <c r="C26" s="562" t="s">
        <v>298</v>
      </c>
      <c r="D26" s="563">
        <v>218</v>
      </c>
      <c r="E26" s="563">
        <f t="shared" si="9"/>
        <v>127.4</v>
      </c>
      <c r="F26" s="563">
        <f t="shared" si="6"/>
        <v>58.440366972477065</v>
      </c>
      <c r="G26" s="563">
        <f t="shared" si="10"/>
        <v>127.4</v>
      </c>
      <c r="H26" s="563">
        <f t="shared" si="11"/>
        <v>127.4</v>
      </c>
      <c r="I26" s="563">
        <v>127.4</v>
      </c>
      <c r="J26" s="563">
        <v>0</v>
      </c>
      <c r="K26" s="563">
        <v>0</v>
      </c>
      <c r="L26" s="563">
        <v>0</v>
      </c>
      <c r="M26" s="563">
        <v>0</v>
      </c>
      <c r="N26" s="563">
        <v>0</v>
      </c>
      <c r="O26" s="563">
        <v>0</v>
      </c>
      <c r="P26" s="563">
        <f t="shared" si="12"/>
        <v>0</v>
      </c>
      <c r="Q26" s="563">
        <v>0</v>
      </c>
      <c r="R26" s="564">
        <v>0</v>
      </c>
      <c r="S26" s="563">
        <v>0</v>
      </c>
    </row>
    <row r="27" spans="1:19" ht="13.5" customHeight="1">
      <c r="A27" s="561"/>
      <c r="B27" s="561"/>
      <c r="C27" s="562" t="s">
        <v>305</v>
      </c>
      <c r="D27" s="563">
        <v>8850</v>
      </c>
      <c r="E27" s="563">
        <f t="shared" si="9"/>
        <v>8850</v>
      </c>
      <c r="F27" s="563">
        <f t="shared" si="6"/>
        <v>100</v>
      </c>
      <c r="G27" s="563">
        <f t="shared" si="10"/>
        <v>8850</v>
      </c>
      <c r="H27" s="563">
        <f t="shared" si="11"/>
        <v>8850</v>
      </c>
      <c r="I27" s="563">
        <v>8850</v>
      </c>
      <c r="J27" s="563">
        <v>0</v>
      </c>
      <c r="K27" s="563">
        <v>0</v>
      </c>
      <c r="L27" s="563">
        <v>0</v>
      </c>
      <c r="M27" s="563">
        <v>0</v>
      </c>
      <c r="N27" s="563">
        <v>0</v>
      </c>
      <c r="O27" s="563">
        <v>0</v>
      </c>
      <c r="P27" s="563">
        <f t="shared" si="12"/>
        <v>0</v>
      </c>
      <c r="Q27" s="563">
        <v>0</v>
      </c>
      <c r="R27" s="564">
        <v>0</v>
      </c>
      <c r="S27" s="563">
        <v>0</v>
      </c>
    </row>
    <row r="28" spans="1:19" ht="13.5" customHeight="1">
      <c r="A28" s="561"/>
      <c r="B28" s="561"/>
      <c r="C28" s="562" t="s">
        <v>123</v>
      </c>
      <c r="D28" s="563">
        <v>489360</v>
      </c>
      <c r="E28" s="563">
        <f t="shared" si="9"/>
        <v>470322.78</v>
      </c>
      <c r="F28" s="563">
        <f aca="true" t="shared" si="13" ref="F28:F33">E28/D28*100</f>
        <v>96.10977194703287</v>
      </c>
      <c r="G28" s="563">
        <f t="shared" si="10"/>
        <v>470322.78</v>
      </c>
      <c r="H28" s="563">
        <f t="shared" si="11"/>
        <v>470322.78</v>
      </c>
      <c r="I28" s="563">
        <v>0</v>
      </c>
      <c r="J28" s="563">
        <v>470322.78</v>
      </c>
      <c r="K28" s="563">
        <v>0</v>
      </c>
      <c r="L28" s="563">
        <v>0</v>
      </c>
      <c r="M28" s="563">
        <v>0</v>
      </c>
      <c r="N28" s="563">
        <v>0</v>
      </c>
      <c r="O28" s="563">
        <v>0</v>
      </c>
      <c r="P28" s="563">
        <f t="shared" si="12"/>
        <v>0</v>
      </c>
      <c r="Q28" s="563">
        <v>0</v>
      </c>
      <c r="R28" s="564">
        <v>0</v>
      </c>
      <c r="S28" s="563">
        <v>0</v>
      </c>
    </row>
    <row r="29" spans="1:19" ht="13.5" customHeight="1">
      <c r="A29" s="561"/>
      <c r="B29" s="561"/>
      <c r="C29" s="562" t="s">
        <v>124</v>
      </c>
      <c r="D29" s="563">
        <v>405100</v>
      </c>
      <c r="E29" s="563">
        <f t="shared" si="9"/>
        <v>357942.85</v>
      </c>
      <c r="F29" s="563">
        <f t="shared" si="13"/>
        <v>88.35913354727228</v>
      </c>
      <c r="G29" s="563">
        <f t="shared" si="10"/>
        <v>357942.85</v>
      </c>
      <c r="H29" s="563">
        <f t="shared" si="11"/>
        <v>357942.85</v>
      </c>
      <c r="I29" s="563">
        <v>0</v>
      </c>
      <c r="J29" s="563">
        <v>357942.85</v>
      </c>
      <c r="K29" s="563">
        <v>0</v>
      </c>
      <c r="L29" s="563">
        <v>0</v>
      </c>
      <c r="M29" s="563">
        <v>0</v>
      </c>
      <c r="N29" s="563">
        <v>0</v>
      </c>
      <c r="O29" s="563">
        <v>0</v>
      </c>
      <c r="P29" s="563">
        <f t="shared" si="12"/>
        <v>0</v>
      </c>
      <c r="Q29" s="563">
        <v>0</v>
      </c>
      <c r="R29" s="564">
        <v>0</v>
      </c>
      <c r="S29" s="563">
        <v>0</v>
      </c>
    </row>
    <row r="30" spans="1:19" ht="13.5" customHeight="1">
      <c r="A30" s="561"/>
      <c r="B30" s="561"/>
      <c r="C30" s="562" t="s">
        <v>125</v>
      </c>
      <c r="D30" s="563">
        <v>680908</v>
      </c>
      <c r="E30" s="563">
        <f t="shared" si="9"/>
        <v>664469.3</v>
      </c>
      <c r="F30" s="563">
        <f t="shared" si="13"/>
        <v>97.58576782766542</v>
      </c>
      <c r="G30" s="563">
        <f t="shared" si="10"/>
        <v>664469.3</v>
      </c>
      <c r="H30" s="563">
        <f t="shared" si="11"/>
        <v>664469.3</v>
      </c>
      <c r="I30" s="563">
        <v>0</v>
      </c>
      <c r="J30" s="563">
        <v>664469.3</v>
      </c>
      <c r="K30" s="563">
        <v>0</v>
      </c>
      <c r="L30" s="563">
        <v>0</v>
      </c>
      <c r="M30" s="563">
        <v>0</v>
      </c>
      <c r="N30" s="563">
        <v>0</v>
      </c>
      <c r="O30" s="563">
        <v>0</v>
      </c>
      <c r="P30" s="563">
        <f t="shared" si="12"/>
        <v>0</v>
      </c>
      <c r="Q30" s="563">
        <v>0</v>
      </c>
      <c r="R30" s="564">
        <v>0</v>
      </c>
      <c r="S30" s="563">
        <v>0</v>
      </c>
    </row>
    <row r="31" spans="1:19" ht="13.5" customHeight="1">
      <c r="A31" s="561"/>
      <c r="B31" s="561"/>
      <c r="C31" s="562" t="s">
        <v>301</v>
      </c>
      <c r="D31" s="563">
        <v>6000</v>
      </c>
      <c r="E31" s="563">
        <f t="shared" si="9"/>
        <v>5965.5</v>
      </c>
      <c r="F31" s="563">
        <f t="shared" si="13"/>
        <v>99.425</v>
      </c>
      <c r="G31" s="563">
        <f t="shared" si="10"/>
        <v>5965.5</v>
      </c>
      <c r="H31" s="563">
        <f t="shared" si="11"/>
        <v>5965.5</v>
      </c>
      <c r="I31" s="563">
        <v>0</v>
      </c>
      <c r="J31" s="563">
        <v>5965.5</v>
      </c>
      <c r="K31" s="563">
        <v>0</v>
      </c>
      <c r="L31" s="563">
        <v>0</v>
      </c>
      <c r="M31" s="563">
        <v>0</v>
      </c>
      <c r="N31" s="563">
        <v>0</v>
      </c>
      <c r="O31" s="563">
        <v>0</v>
      </c>
      <c r="P31" s="563">
        <f t="shared" si="12"/>
        <v>0</v>
      </c>
      <c r="Q31" s="563">
        <v>0</v>
      </c>
      <c r="R31" s="564">
        <v>0</v>
      </c>
      <c r="S31" s="563">
        <v>0</v>
      </c>
    </row>
    <row r="32" spans="1:19" ht="13.5" customHeight="1">
      <c r="A32" s="561"/>
      <c r="B32" s="561"/>
      <c r="C32" s="562" t="s">
        <v>320</v>
      </c>
      <c r="D32" s="563">
        <v>5675164</v>
      </c>
      <c r="E32" s="563">
        <f t="shared" si="9"/>
        <v>5488421.91</v>
      </c>
      <c r="F32" s="563">
        <f t="shared" si="13"/>
        <v>96.70948557609965</v>
      </c>
      <c r="G32" s="563">
        <f t="shared" si="10"/>
        <v>0</v>
      </c>
      <c r="H32" s="563">
        <f t="shared" si="11"/>
        <v>0</v>
      </c>
      <c r="I32" s="563">
        <v>0</v>
      </c>
      <c r="J32" s="563">
        <v>0</v>
      </c>
      <c r="K32" s="563">
        <v>0</v>
      </c>
      <c r="L32" s="563">
        <v>0</v>
      </c>
      <c r="M32" s="563">
        <v>0</v>
      </c>
      <c r="N32" s="563">
        <v>0</v>
      </c>
      <c r="O32" s="563">
        <v>0</v>
      </c>
      <c r="P32" s="563">
        <f t="shared" si="12"/>
        <v>5488421.91</v>
      </c>
      <c r="Q32" s="563">
        <v>5488421.91</v>
      </c>
      <c r="R32" s="564">
        <v>0</v>
      </c>
      <c r="S32" s="563">
        <v>0</v>
      </c>
    </row>
    <row r="33" spans="1:19" ht="13.5" customHeight="1">
      <c r="A33" s="561"/>
      <c r="B33" s="561"/>
      <c r="C33" s="562" t="s">
        <v>326</v>
      </c>
      <c r="D33" s="563">
        <v>53905</v>
      </c>
      <c r="E33" s="563">
        <f t="shared" si="9"/>
        <v>42950.68</v>
      </c>
      <c r="F33" s="563">
        <f t="shared" si="13"/>
        <v>79.6784713848437</v>
      </c>
      <c r="G33" s="563">
        <f t="shared" si="10"/>
        <v>0</v>
      </c>
      <c r="H33" s="563">
        <f t="shared" si="11"/>
        <v>0</v>
      </c>
      <c r="I33" s="563">
        <v>0</v>
      </c>
      <c r="J33" s="563">
        <v>0</v>
      </c>
      <c r="K33" s="563">
        <v>0</v>
      </c>
      <c r="L33" s="563">
        <v>0</v>
      </c>
      <c r="M33" s="563">
        <v>0</v>
      </c>
      <c r="N33" s="563">
        <v>0</v>
      </c>
      <c r="O33" s="563">
        <v>0</v>
      </c>
      <c r="P33" s="563">
        <f t="shared" si="12"/>
        <v>42950.68</v>
      </c>
      <c r="Q33" s="563">
        <v>42950.68</v>
      </c>
      <c r="R33" s="564">
        <v>0</v>
      </c>
      <c r="S33" s="563">
        <v>0</v>
      </c>
    </row>
    <row r="34" spans="1:19" ht="13.5" customHeight="1" hidden="1">
      <c r="A34" s="561"/>
      <c r="B34" s="554" t="s">
        <v>325</v>
      </c>
      <c r="C34" s="554"/>
      <c r="D34" s="560">
        <f>SUM(D35:D35)</f>
        <v>0</v>
      </c>
      <c r="E34" s="560">
        <f>SUM(E35:E35)</f>
        <v>0</v>
      </c>
      <c r="F34" s="560" t="e">
        <f t="shared" si="6"/>
        <v>#DIV/0!</v>
      </c>
      <c r="G34" s="560">
        <f aca="true" t="shared" si="14" ref="G34:S34">SUM(G35:G35)</f>
        <v>0</v>
      </c>
      <c r="H34" s="560">
        <f t="shared" si="14"/>
        <v>0</v>
      </c>
      <c r="I34" s="560">
        <f t="shared" si="14"/>
        <v>0</v>
      </c>
      <c r="J34" s="560">
        <f t="shared" si="14"/>
        <v>0</v>
      </c>
      <c r="K34" s="560">
        <f t="shared" si="14"/>
        <v>0</v>
      </c>
      <c r="L34" s="560">
        <f t="shared" si="14"/>
        <v>0</v>
      </c>
      <c r="M34" s="560">
        <f t="shared" si="14"/>
        <v>0</v>
      </c>
      <c r="N34" s="560">
        <f t="shared" si="14"/>
        <v>0</v>
      </c>
      <c r="O34" s="560">
        <f t="shared" si="14"/>
        <v>0</v>
      </c>
      <c r="P34" s="560">
        <f t="shared" si="14"/>
        <v>0</v>
      </c>
      <c r="Q34" s="560">
        <f t="shared" si="14"/>
        <v>0</v>
      </c>
      <c r="R34" s="560">
        <f t="shared" si="14"/>
        <v>0</v>
      </c>
      <c r="S34" s="560">
        <f t="shared" si="14"/>
        <v>0</v>
      </c>
    </row>
    <row r="35" spans="1:19" ht="13.5" customHeight="1" hidden="1">
      <c r="A35" s="561"/>
      <c r="B35" s="561"/>
      <c r="C35" s="562" t="s">
        <v>143</v>
      </c>
      <c r="D35" s="563"/>
      <c r="E35" s="563">
        <f>G35+P35</f>
        <v>0</v>
      </c>
      <c r="F35" s="563" t="e">
        <f t="shared" si="6"/>
        <v>#DIV/0!</v>
      </c>
      <c r="G35" s="563">
        <f>H35+K35+L35+M35+N35+O35</f>
        <v>0</v>
      </c>
      <c r="H35" s="563">
        <f>SUM(I35:J35)</f>
        <v>0</v>
      </c>
      <c r="I35" s="563">
        <v>0</v>
      </c>
      <c r="J35" s="563">
        <v>0</v>
      </c>
      <c r="K35" s="563">
        <v>0</v>
      </c>
      <c r="L35" s="563">
        <v>0</v>
      </c>
      <c r="M35" s="563">
        <v>0</v>
      </c>
      <c r="N35" s="563">
        <v>0</v>
      </c>
      <c r="O35" s="563">
        <v>0</v>
      </c>
      <c r="P35" s="563">
        <f>Q35+S35</f>
        <v>0</v>
      </c>
      <c r="Q35" s="563"/>
      <c r="R35" s="564">
        <v>0</v>
      </c>
      <c r="S35" s="563">
        <v>0</v>
      </c>
    </row>
    <row r="36" spans="1:19" ht="13.5" customHeight="1">
      <c r="A36" s="557" t="s">
        <v>327</v>
      </c>
      <c r="B36" s="557"/>
      <c r="C36" s="554"/>
      <c r="D36" s="560">
        <f>D37</f>
        <v>2000</v>
      </c>
      <c r="E36" s="560">
        <f>E37</f>
        <v>500</v>
      </c>
      <c r="F36" s="560">
        <f t="shared" si="6"/>
        <v>25</v>
      </c>
      <c r="G36" s="560">
        <f aca="true" t="shared" si="15" ref="G36:S36">G37</f>
        <v>500</v>
      </c>
      <c r="H36" s="560">
        <f t="shared" si="15"/>
        <v>500</v>
      </c>
      <c r="I36" s="560">
        <f t="shared" si="15"/>
        <v>0</v>
      </c>
      <c r="J36" s="560">
        <f t="shared" si="15"/>
        <v>500</v>
      </c>
      <c r="K36" s="560">
        <f t="shared" si="15"/>
        <v>0</v>
      </c>
      <c r="L36" s="560">
        <f t="shared" si="15"/>
        <v>0</v>
      </c>
      <c r="M36" s="560">
        <f t="shared" si="15"/>
        <v>0</v>
      </c>
      <c r="N36" s="560">
        <f t="shared" si="15"/>
        <v>0</v>
      </c>
      <c r="O36" s="560">
        <f t="shared" si="15"/>
        <v>0</v>
      </c>
      <c r="P36" s="560">
        <f t="shared" si="15"/>
        <v>0</v>
      </c>
      <c r="Q36" s="560">
        <f t="shared" si="15"/>
        <v>0</v>
      </c>
      <c r="R36" s="560">
        <f t="shared" si="15"/>
        <v>0</v>
      </c>
      <c r="S36" s="560">
        <f t="shared" si="15"/>
        <v>0</v>
      </c>
    </row>
    <row r="37" spans="1:19" ht="13.5" customHeight="1">
      <c r="A37" s="557"/>
      <c r="B37" s="554" t="s">
        <v>328</v>
      </c>
      <c r="C37" s="554"/>
      <c r="D37" s="560">
        <f>SUM(D38:D39)</f>
        <v>2000</v>
      </c>
      <c r="E37" s="560">
        <f>SUM(E38:E39)</f>
        <v>500</v>
      </c>
      <c r="F37" s="560">
        <f t="shared" si="6"/>
        <v>25</v>
      </c>
      <c r="G37" s="560">
        <f aca="true" t="shared" si="16" ref="G37:S37">SUM(G38:G39)</f>
        <v>500</v>
      </c>
      <c r="H37" s="560">
        <f t="shared" si="16"/>
        <v>500</v>
      </c>
      <c r="I37" s="560">
        <f t="shared" si="16"/>
        <v>0</v>
      </c>
      <c r="J37" s="560">
        <f t="shared" si="16"/>
        <v>500</v>
      </c>
      <c r="K37" s="560">
        <f t="shared" si="16"/>
        <v>0</v>
      </c>
      <c r="L37" s="560">
        <f t="shared" si="16"/>
        <v>0</v>
      </c>
      <c r="M37" s="560">
        <f t="shared" si="16"/>
        <v>0</v>
      </c>
      <c r="N37" s="560">
        <f t="shared" si="16"/>
        <v>0</v>
      </c>
      <c r="O37" s="560">
        <f t="shared" si="16"/>
        <v>0</v>
      </c>
      <c r="P37" s="560">
        <f t="shared" si="16"/>
        <v>0</v>
      </c>
      <c r="Q37" s="560">
        <f t="shared" si="16"/>
        <v>0</v>
      </c>
      <c r="R37" s="560">
        <f t="shared" si="16"/>
        <v>0</v>
      </c>
      <c r="S37" s="560">
        <f t="shared" si="16"/>
        <v>0</v>
      </c>
    </row>
    <row r="38" spans="1:19" ht="13.5" customHeight="1">
      <c r="A38" s="561"/>
      <c r="B38" s="561"/>
      <c r="C38" s="562" t="s">
        <v>123</v>
      </c>
      <c r="D38" s="563">
        <v>1500</v>
      </c>
      <c r="E38" s="563">
        <f>G38+P38</f>
        <v>0</v>
      </c>
      <c r="F38" s="563">
        <f t="shared" si="6"/>
        <v>0</v>
      </c>
      <c r="G38" s="563">
        <f>H38+K38+L38+M38+N38+O38</f>
        <v>0</v>
      </c>
      <c r="H38" s="563">
        <f>SUM(I38:J38)</f>
        <v>0</v>
      </c>
      <c r="I38" s="563">
        <v>0</v>
      </c>
      <c r="J38" s="563">
        <v>0</v>
      </c>
      <c r="K38" s="563">
        <v>0</v>
      </c>
      <c r="L38" s="563">
        <v>0</v>
      </c>
      <c r="M38" s="563">
        <v>0</v>
      </c>
      <c r="N38" s="563">
        <v>0</v>
      </c>
      <c r="O38" s="563">
        <v>0</v>
      </c>
      <c r="P38" s="563">
        <f>Q38+S38</f>
        <v>0</v>
      </c>
      <c r="Q38" s="563">
        <v>0</v>
      </c>
      <c r="R38" s="564">
        <v>0</v>
      </c>
      <c r="S38" s="563">
        <v>0</v>
      </c>
    </row>
    <row r="39" spans="1:19" ht="13.5" customHeight="1">
      <c r="A39" s="561"/>
      <c r="B39" s="561"/>
      <c r="C39" s="562" t="s">
        <v>125</v>
      </c>
      <c r="D39" s="563">
        <v>500</v>
      </c>
      <c r="E39" s="563">
        <f>G39+P39</f>
        <v>500</v>
      </c>
      <c r="F39" s="563">
        <f>E39/D39*100</f>
        <v>100</v>
      </c>
      <c r="G39" s="563">
        <f>H39+K39+L39+M39+N39+O39</f>
        <v>500</v>
      </c>
      <c r="H39" s="563">
        <f>SUM(I39:J39)</f>
        <v>500</v>
      </c>
      <c r="I39" s="563">
        <v>0</v>
      </c>
      <c r="J39" s="563">
        <v>500</v>
      </c>
      <c r="K39" s="563">
        <v>0</v>
      </c>
      <c r="L39" s="563">
        <v>0</v>
      </c>
      <c r="M39" s="563">
        <v>0</v>
      </c>
      <c r="N39" s="563">
        <v>0</v>
      </c>
      <c r="O39" s="563">
        <v>0</v>
      </c>
      <c r="P39" s="563">
        <f>Q39+S39</f>
        <v>0</v>
      </c>
      <c r="Q39" s="563">
        <v>0</v>
      </c>
      <c r="R39" s="564">
        <v>0</v>
      </c>
      <c r="S39" s="563">
        <v>0</v>
      </c>
    </row>
    <row r="40" spans="1:19" ht="13.5" customHeight="1">
      <c r="A40" s="557" t="s">
        <v>17</v>
      </c>
      <c r="B40" s="557"/>
      <c r="C40" s="554"/>
      <c r="D40" s="560">
        <f>D41</f>
        <v>45000</v>
      </c>
      <c r="E40" s="560">
        <f>E41</f>
        <v>21279.82</v>
      </c>
      <c r="F40" s="560">
        <f t="shared" si="6"/>
        <v>47.28848888888889</v>
      </c>
      <c r="G40" s="560">
        <f aca="true" t="shared" si="17" ref="G40:S40">G41</f>
        <v>21279.82</v>
      </c>
      <c r="H40" s="560">
        <f t="shared" si="17"/>
        <v>21279.82</v>
      </c>
      <c r="I40" s="560">
        <f t="shared" si="17"/>
        <v>0</v>
      </c>
      <c r="J40" s="560">
        <f t="shared" si="17"/>
        <v>21279.82</v>
      </c>
      <c r="K40" s="560">
        <f t="shared" si="17"/>
        <v>0</v>
      </c>
      <c r="L40" s="560">
        <f t="shared" si="17"/>
        <v>0</v>
      </c>
      <c r="M40" s="560">
        <f t="shared" si="17"/>
        <v>0</v>
      </c>
      <c r="N40" s="560">
        <f t="shared" si="17"/>
        <v>0</v>
      </c>
      <c r="O40" s="560">
        <f t="shared" si="17"/>
        <v>0</v>
      </c>
      <c r="P40" s="560">
        <f t="shared" si="17"/>
        <v>0</v>
      </c>
      <c r="Q40" s="560">
        <f t="shared" si="17"/>
        <v>0</v>
      </c>
      <c r="R40" s="560">
        <f t="shared" si="17"/>
        <v>0</v>
      </c>
      <c r="S40" s="560">
        <f t="shared" si="17"/>
        <v>0</v>
      </c>
    </row>
    <row r="41" spans="1:19" ht="13.5" customHeight="1">
      <c r="A41" s="557"/>
      <c r="B41" s="554" t="s">
        <v>18</v>
      </c>
      <c r="C41" s="554"/>
      <c r="D41" s="560">
        <f>SUM(D42:D45)</f>
        <v>45000</v>
      </c>
      <c r="E41" s="560">
        <f>SUM(E42:E45)</f>
        <v>21279.82</v>
      </c>
      <c r="F41" s="560">
        <f t="shared" si="6"/>
        <v>47.28848888888889</v>
      </c>
      <c r="G41" s="560">
        <f aca="true" t="shared" si="18" ref="G41:S41">SUM(G42:G45)</f>
        <v>21279.82</v>
      </c>
      <c r="H41" s="560">
        <f t="shared" si="18"/>
        <v>21279.82</v>
      </c>
      <c r="I41" s="560">
        <f t="shared" si="18"/>
        <v>0</v>
      </c>
      <c r="J41" s="560">
        <f t="shared" si="18"/>
        <v>21279.82</v>
      </c>
      <c r="K41" s="560">
        <f t="shared" si="18"/>
        <v>0</v>
      </c>
      <c r="L41" s="560">
        <f t="shared" si="18"/>
        <v>0</v>
      </c>
      <c r="M41" s="560">
        <f t="shared" si="18"/>
        <v>0</v>
      </c>
      <c r="N41" s="560">
        <f t="shared" si="18"/>
        <v>0</v>
      </c>
      <c r="O41" s="560">
        <f t="shared" si="18"/>
        <v>0</v>
      </c>
      <c r="P41" s="560">
        <f t="shared" si="18"/>
        <v>0</v>
      </c>
      <c r="Q41" s="560">
        <f t="shared" si="18"/>
        <v>0</v>
      </c>
      <c r="R41" s="560">
        <f t="shared" si="18"/>
        <v>0</v>
      </c>
      <c r="S41" s="560">
        <f t="shared" si="18"/>
        <v>0</v>
      </c>
    </row>
    <row r="42" spans="1:19" ht="13.5" customHeight="1">
      <c r="A42" s="561"/>
      <c r="B42" s="561"/>
      <c r="C42" s="562" t="s">
        <v>123</v>
      </c>
      <c r="D42" s="563">
        <v>2973</v>
      </c>
      <c r="E42" s="563">
        <f>G42+P42</f>
        <v>0</v>
      </c>
      <c r="F42" s="563">
        <f t="shared" si="6"/>
        <v>0</v>
      </c>
      <c r="G42" s="563">
        <f>H42+K42+L42+M42+N42+O42</f>
        <v>0</v>
      </c>
      <c r="H42" s="563">
        <f>SUM(I42:J42)</f>
        <v>0</v>
      </c>
      <c r="I42" s="563">
        <v>0</v>
      </c>
      <c r="J42" s="563">
        <v>0</v>
      </c>
      <c r="K42" s="563">
        <v>0</v>
      </c>
      <c r="L42" s="563">
        <v>0</v>
      </c>
      <c r="M42" s="563">
        <v>0</v>
      </c>
      <c r="N42" s="563">
        <v>0</v>
      </c>
      <c r="O42" s="563">
        <v>0</v>
      </c>
      <c r="P42" s="563">
        <f>Q42+S42</f>
        <v>0</v>
      </c>
      <c r="Q42" s="563">
        <v>0</v>
      </c>
      <c r="R42" s="564">
        <v>0</v>
      </c>
      <c r="S42" s="563">
        <v>0</v>
      </c>
    </row>
    <row r="43" spans="1:19" ht="13.5" customHeight="1">
      <c r="A43" s="561"/>
      <c r="B43" s="561"/>
      <c r="C43" s="562" t="s">
        <v>125</v>
      </c>
      <c r="D43" s="563">
        <v>21000</v>
      </c>
      <c r="E43" s="563">
        <f>G43+P43</f>
        <v>18076.82</v>
      </c>
      <c r="F43" s="563">
        <f>E43/D43*100</f>
        <v>86.08009523809524</v>
      </c>
      <c r="G43" s="563">
        <f>H43+K43+L43+M43+N43+O43</f>
        <v>18076.82</v>
      </c>
      <c r="H43" s="563">
        <f>SUM(I43:J43)</f>
        <v>18076.82</v>
      </c>
      <c r="I43" s="563">
        <v>0</v>
      </c>
      <c r="J43" s="563">
        <v>18076.82</v>
      </c>
      <c r="K43" s="563">
        <v>0</v>
      </c>
      <c r="L43" s="563">
        <v>0</v>
      </c>
      <c r="M43" s="563">
        <v>0</v>
      </c>
      <c r="N43" s="563">
        <v>0</v>
      </c>
      <c r="O43" s="563">
        <v>0</v>
      </c>
      <c r="P43" s="563">
        <f>Q43+S43</f>
        <v>0</v>
      </c>
      <c r="Q43" s="563">
        <v>0</v>
      </c>
      <c r="R43" s="564">
        <v>0</v>
      </c>
      <c r="S43" s="563">
        <v>0</v>
      </c>
    </row>
    <row r="44" spans="1:19" ht="13.5" customHeight="1">
      <c r="A44" s="561"/>
      <c r="B44" s="561"/>
      <c r="C44" s="562" t="s">
        <v>317</v>
      </c>
      <c r="D44" s="563">
        <v>9027</v>
      </c>
      <c r="E44" s="563">
        <f>G44+P44</f>
        <v>2963</v>
      </c>
      <c r="F44" s="563">
        <f>E44/D44*100</f>
        <v>32.82375096931428</v>
      </c>
      <c r="G44" s="563">
        <f>H44+K44+L44+M44+N44+O44</f>
        <v>2963</v>
      </c>
      <c r="H44" s="563">
        <f>SUM(I44:J44)</f>
        <v>2963</v>
      </c>
      <c r="I44" s="563">
        <v>0</v>
      </c>
      <c r="J44" s="563">
        <v>2963</v>
      </c>
      <c r="K44" s="563">
        <v>0</v>
      </c>
      <c r="L44" s="563">
        <v>0</v>
      </c>
      <c r="M44" s="563">
        <v>0</v>
      </c>
      <c r="N44" s="563">
        <v>0</v>
      </c>
      <c r="O44" s="563">
        <v>0</v>
      </c>
      <c r="P44" s="563">
        <f>Q44+S44</f>
        <v>0</v>
      </c>
      <c r="Q44" s="563">
        <v>0</v>
      </c>
      <c r="R44" s="564">
        <v>0</v>
      </c>
      <c r="S44" s="563">
        <v>0</v>
      </c>
    </row>
    <row r="45" spans="1:19" ht="13.5" customHeight="1">
      <c r="A45" s="561"/>
      <c r="B45" s="561"/>
      <c r="C45" s="562" t="s">
        <v>333</v>
      </c>
      <c r="D45" s="563">
        <v>12000</v>
      </c>
      <c r="E45" s="563">
        <f>G45+P45</f>
        <v>240</v>
      </c>
      <c r="F45" s="563">
        <f>E45/D45*100</f>
        <v>2</v>
      </c>
      <c r="G45" s="563">
        <f>H45+K45+L45+M45+N45+O45</f>
        <v>240</v>
      </c>
      <c r="H45" s="563">
        <f>SUM(I45:J45)</f>
        <v>240</v>
      </c>
      <c r="I45" s="563">
        <v>0</v>
      </c>
      <c r="J45" s="563">
        <v>240</v>
      </c>
      <c r="K45" s="563">
        <v>0</v>
      </c>
      <c r="L45" s="563">
        <v>0</v>
      </c>
      <c r="M45" s="563">
        <v>0</v>
      </c>
      <c r="N45" s="563">
        <v>0</v>
      </c>
      <c r="O45" s="563">
        <v>0</v>
      </c>
      <c r="P45" s="563">
        <f>Q45+S45</f>
        <v>0</v>
      </c>
      <c r="Q45" s="563">
        <v>0</v>
      </c>
      <c r="R45" s="564">
        <v>0</v>
      </c>
      <c r="S45" s="563">
        <v>0</v>
      </c>
    </row>
    <row r="46" spans="1:19" ht="13.5" customHeight="1">
      <c r="A46" s="554" t="s">
        <v>33</v>
      </c>
      <c r="B46" s="557"/>
      <c r="C46" s="554"/>
      <c r="D46" s="560">
        <f>D47+D49+D60+D53</f>
        <v>453868</v>
      </c>
      <c r="E46" s="560">
        <f>E47+E49+E60+E53</f>
        <v>396958.9</v>
      </c>
      <c r="F46" s="560">
        <f t="shared" si="6"/>
        <v>87.46131033692616</v>
      </c>
      <c r="G46" s="560">
        <f aca="true" t="shared" si="19" ref="G46:S46">G47+G49+G60+G53</f>
        <v>396958.9</v>
      </c>
      <c r="H46" s="560">
        <f t="shared" si="19"/>
        <v>396958.9</v>
      </c>
      <c r="I46" s="560">
        <f t="shared" si="19"/>
        <v>146736.75</v>
      </c>
      <c r="J46" s="560">
        <f t="shared" si="19"/>
        <v>250222.15</v>
      </c>
      <c r="K46" s="560">
        <f t="shared" si="19"/>
        <v>0</v>
      </c>
      <c r="L46" s="560">
        <f t="shared" si="19"/>
        <v>0</v>
      </c>
      <c r="M46" s="560">
        <f t="shared" si="19"/>
        <v>0</v>
      </c>
      <c r="N46" s="560">
        <f t="shared" si="19"/>
        <v>0</v>
      </c>
      <c r="O46" s="560">
        <f t="shared" si="19"/>
        <v>0</v>
      </c>
      <c r="P46" s="560">
        <f t="shared" si="19"/>
        <v>0</v>
      </c>
      <c r="Q46" s="560">
        <f t="shared" si="19"/>
        <v>0</v>
      </c>
      <c r="R46" s="560">
        <f t="shared" si="19"/>
        <v>0</v>
      </c>
      <c r="S46" s="560">
        <f t="shared" si="19"/>
        <v>0</v>
      </c>
    </row>
    <row r="47" spans="1:19" ht="13.5" customHeight="1">
      <c r="A47" s="555"/>
      <c r="B47" s="554" t="s">
        <v>329</v>
      </c>
      <c r="C47" s="554"/>
      <c r="D47" s="560">
        <f>SUM(D48:D48)</f>
        <v>6000</v>
      </c>
      <c r="E47" s="560">
        <f>SUM(E48:E48)</f>
        <v>2000</v>
      </c>
      <c r="F47" s="560">
        <f t="shared" si="6"/>
        <v>33.33333333333333</v>
      </c>
      <c r="G47" s="560">
        <f aca="true" t="shared" si="20" ref="G47:S47">SUM(G48:G48)</f>
        <v>2000</v>
      </c>
      <c r="H47" s="560">
        <f t="shared" si="20"/>
        <v>2000</v>
      </c>
      <c r="I47" s="560">
        <f t="shared" si="20"/>
        <v>0</v>
      </c>
      <c r="J47" s="560">
        <f t="shared" si="20"/>
        <v>2000</v>
      </c>
      <c r="K47" s="560">
        <f t="shared" si="20"/>
        <v>0</v>
      </c>
      <c r="L47" s="560">
        <f t="shared" si="20"/>
        <v>0</v>
      </c>
      <c r="M47" s="560">
        <f t="shared" si="20"/>
        <v>0</v>
      </c>
      <c r="N47" s="560">
        <f t="shared" si="20"/>
        <v>0</v>
      </c>
      <c r="O47" s="560">
        <f t="shared" si="20"/>
        <v>0</v>
      </c>
      <c r="P47" s="560">
        <f t="shared" si="20"/>
        <v>0</v>
      </c>
      <c r="Q47" s="560">
        <f t="shared" si="20"/>
        <v>0</v>
      </c>
      <c r="R47" s="560">
        <f t="shared" si="20"/>
        <v>0</v>
      </c>
      <c r="S47" s="560">
        <f t="shared" si="20"/>
        <v>0</v>
      </c>
    </row>
    <row r="48" spans="1:19" ht="13.5" customHeight="1">
      <c r="A48" s="561"/>
      <c r="B48" s="561"/>
      <c r="C48" s="562" t="s">
        <v>301</v>
      </c>
      <c r="D48" s="563">
        <v>6000</v>
      </c>
      <c r="E48" s="563">
        <f>G48+P48</f>
        <v>2000</v>
      </c>
      <c r="F48" s="563">
        <f t="shared" si="6"/>
        <v>33.33333333333333</v>
      </c>
      <c r="G48" s="563">
        <f>H48+K48+L48+M48+N48+O48</f>
        <v>2000</v>
      </c>
      <c r="H48" s="563">
        <f>SUM(I48:J48)</f>
        <v>2000</v>
      </c>
      <c r="I48" s="563">
        <v>0</v>
      </c>
      <c r="J48" s="563">
        <v>2000</v>
      </c>
      <c r="K48" s="563">
        <v>0</v>
      </c>
      <c r="L48" s="563">
        <v>0</v>
      </c>
      <c r="M48" s="563">
        <v>0</v>
      </c>
      <c r="N48" s="563">
        <v>0</v>
      </c>
      <c r="O48" s="563">
        <v>0</v>
      </c>
      <c r="P48" s="563">
        <f>Q48+S48</f>
        <v>0</v>
      </c>
      <c r="Q48" s="563">
        <v>0</v>
      </c>
      <c r="R48" s="564">
        <v>0</v>
      </c>
      <c r="S48" s="563">
        <v>0</v>
      </c>
    </row>
    <row r="49" spans="1:19" ht="13.5" customHeight="1">
      <c r="A49" s="561"/>
      <c r="B49" s="554" t="s">
        <v>34</v>
      </c>
      <c r="C49" s="554"/>
      <c r="D49" s="560">
        <f>SUM(D50:D52)</f>
        <v>147663</v>
      </c>
      <c r="E49" s="560">
        <f>SUM(E50:E52)</f>
        <v>145636.75</v>
      </c>
      <c r="F49" s="560">
        <f aca="true" t="shared" si="21" ref="F49:F78">E49/D49*100</f>
        <v>98.6277875974347</v>
      </c>
      <c r="G49" s="560">
        <f aca="true" t="shared" si="22" ref="G49:S49">SUM(G50:G52)</f>
        <v>145636.75</v>
      </c>
      <c r="H49" s="560">
        <f t="shared" si="22"/>
        <v>145636.75</v>
      </c>
      <c r="I49" s="560">
        <f t="shared" si="22"/>
        <v>145636.75</v>
      </c>
      <c r="J49" s="560">
        <f t="shared" si="22"/>
        <v>0</v>
      </c>
      <c r="K49" s="560">
        <f t="shared" si="22"/>
        <v>0</v>
      </c>
      <c r="L49" s="560">
        <f t="shared" si="22"/>
        <v>0</v>
      </c>
      <c r="M49" s="560">
        <f t="shared" si="22"/>
        <v>0</v>
      </c>
      <c r="N49" s="560">
        <f t="shared" si="22"/>
        <v>0</v>
      </c>
      <c r="O49" s="560">
        <f t="shared" si="22"/>
        <v>0</v>
      </c>
      <c r="P49" s="560">
        <f t="shared" si="22"/>
        <v>0</v>
      </c>
      <c r="Q49" s="560">
        <f t="shared" si="22"/>
        <v>0</v>
      </c>
      <c r="R49" s="560">
        <f t="shared" si="22"/>
        <v>0</v>
      </c>
      <c r="S49" s="560">
        <f t="shared" si="22"/>
        <v>0</v>
      </c>
    </row>
    <row r="50" spans="1:19" ht="13.5" customHeight="1">
      <c r="A50" s="561"/>
      <c r="B50" s="561"/>
      <c r="C50" s="562" t="s">
        <v>295</v>
      </c>
      <c r="D50" s="563">
        <v>118540</v>
      </c>
      <c r="E50" s="563">
        <f>G50+P50</f>
        <v>116950.41</v>
      </c>
      <c r="F50" s="563">
        <f t="shared" si="21"/>
        <v>98.65902648894888</v>
      </c>
      <c r="G50" s="563">
        <f>H50+K50+L50+M50+N50+O50</f>
        <v>116950.41</v>
      </c>
      <c r="H50" s="563">
        <f>SUM(I50:J50)</f>
        <v>116950.41</v>
      </c>
      <c r="I50" s="563">
        <v>116950.41</v>
      </c>
      <c r="J50" s="563">
        <v>0</v>
      </c>
      <c r="K50" s="563">
        <v>0</v>
      </c>
      <c r="L50" s="563">
        <v>0</v>
      </c>
      <c r="M50" s="563">
        <v>0</v>
      </c>
      <c r="N50" s="563">
        <v>0</v>
      </c>
      <c r="O50" s="563">
        <v>0</v>
      </c>
      <c r="P50" s="563">
        <f>Q50+S50</f>
        <v>0</v>
      </c>
      <c r="Q50" s="563">
        <v>0</v>
      </c>
      <c r="R50" s="564">
        <v>0</v>
      </c>
      <c r="S50" s="563">
        <v>0</v>
      </c>
    </row>
    <row r="51" spans="1:19" ht="13.5" customHeight="1">
      <c r="A51" s="561"/>
      <c r="B51" s="561"/>
      <c r="C51" s="562" t="s">
        <v>297</v>
      </c>
      <c r="D51" s="563">
        <v>26466</v>
      </c>
      <c r="E51" s="563">
        <f>G51+P51</f>
        <v>26095.21</v>
      </c>
      <c r="F51" s="563">
        <f t="shared" si="21"/>
        <v>98.59899493690017</v>
      </c>
      <c r="G51" s="563">
        <f>H51+K51+L51+M51+N51+O51</f>
        <v>26095.21</v>
      </c>
      <c r="H51" s="563">
        <f>SUM(I51:J51)</f>
        <v>26095.21</v>
      </c>
      <c r="I51" s="563">
        <v>26095.21</v>
      </c>
      <c r="J51" s="563">
        <v>0</v>
      </c>
      <c r="K51" s="563">
        <v>0</v>
      </c>
      <c r="L51" s="563">
        <v>0</v>
      </c>
      <c r="M51" s="563">
        <v>0</v>
      </c>
      <c r="N51" s="563">
        <v>0</v>
      </c>
      <c r="O51" s="563">
        <v>0</v>
      </c>
      <c r="P51" s="563">
        <f>Q51+S51</f>
        <v>0</v>
      </c>
      <c r="Q51" s="563">
        <v>0</v>
      </c>
      <c r="R51" s="564">
        <v>0</v>
      </c>
      <c r="S51" s="563">
        <v>0</v>
      </c>
    </row>
    <row r="52" spans="1:19" ht="13.5" customHeight="1">
      <c r="A52" s="561"/>
      <c r="B52" s="561"/>
      <c r="C52" s="562" t="s">
        <v>298</v>
      </c>
      <c r="D52" s="563">
        <v>2657</v>
      </c>
      <c r="E52" s="563">
        <f>G52+P52</f>
        <v>2591.13</v>
      </c>
      <c r="F52" s="563">
        <f t="shared" si="21"/>
        <v>97.52088821979676</v>
      </c>
      <c r="G52" s="563">
        <f>H52+K52+L52+M52+N52+O52</f>
        <v>2591.13</v>
      </c>
      <c r="H52" s="563">
        <f>SUM(I52:J52)</f>
        <v>2591.13</v>
      </c>
      <c r="I52" s="563">
        <v>2591.13</v>
      </c>
      <c r="J52" s="563">
        <v>0</v>
      </c>
      <c r="K52" s="563">
        <v>0</v>
      </c>
      <c r="L52" s="563">
        <v>0</v>
      </c>
      <c r="M52" s="563">
        <v>0</v>
      </c>
      <c r="N52" s="563">
        <v>0</v>
      </c>
      <c r="O52" s="563">
        <v>0</v>
      </c>
      <c r="P52" s="563">
        <f>Q52+S52</f>
        <v>0</v>
      </c>
      <c r="Q52" s="563">
        <v>0</v>
      </c>
      <c r="R52" s="564">
        <v>0</v>
      </c>
      <c r="S52" s="563">
        <v>0</v>
      </c>
    </row>
    <row r="53" spans="1:19" ht="13.5" customHeight="1">
      <c r="A53" s="561"/>
      <c r="B53" s="554" t="s">
        <v>35</v>
      </c>
      <c r="C53" s="554"/>
      <c r="D53" s="560">
        <f>SUM(D54:D59)</f>
        <v>300000</v>
      </c>
      <c r="E53" s="560">
        <f>SUM(E54:E59)</f>
        <v>249126.32</v>
      </c>
      <c r="F53" s="560">
        <f aca="true" t="shared" si="23" ref="F53:F59">E53/D53*100</f>
        <v>83.04210666666667</v>
      </c>
      <c r="G53" s="560">
        <f aca="true" t="shared" si="24" ref="G53:S53">SUM(G54:G59)</f>
        <v>249126.32</v>
      </c>
      <c r="H53" s="560">
        <f t="shared" si="24"/>
        <v>249126.32</v>
      </c>
      <c r="I53" s="560">
        <f t="shared" si="24"/>
        <v>1100</v>
      </c>
      <c r="J53" s="560">
        <f t="shared" si="24"/>
        <v>248026.32</v>
      </c>
      <c r="K53" s="560">
        <f t="shared" si="24"/>
        <v>0</v>
      </c>
      <c r="L53" s="560">
        <f t="shared" si="24"/>
        <v>0</v>
      </c>
      <c r="M53" s="560">
        <f t="shared" si="24"/>
        <v>0</v>
      </c>
      <c r="N53" s="560">
        <f t="shared" si="24"/>
        <v>0</v>
      </c>
      <c r="O53" s="560">
        <f t="shared" si="24"/>
        <v>0</v>
      </c>
      <c r="P53" s="560">
        <f t="shared" si="24"/>
        <v>0</v>
      </c>
      <c r="Q53" s="560">
        <f t="shared" si="24"/>
        <v>0</v>
      </c>
      <c r="R53" s="560">
        <f t="shared" si="24"/>
        <v>0</v>
      </c>
      <c r="S53" s="560">
        <f t="shared" si="24"/>
        <v>0</v>
      </c>
    </row>
    <row r="54" spans="1:19" ht="13.5" customHeight="1">
      <c r="A54" s="561"/>
      <c r="B54" s="561"/>
      <c r="C54" s="562" t="s">
        <v>305</v>
      </c>
      <c r="D54" s="563">
        <v>1100</v>
      </c>
      <c r="E54" s="563">
        <f aca="true" t="shared" si="25" ref="E54:E59">G54+P54</f>
        <v>1100</v>
      </c>
      <c r="F54" s="563">
        <f t="shared" si="23"/>
        <v>100</v>
      </c>
      <c r="G54" s="563">
        <f aca="true" t="shared" si="26" ref="G54:G59">H54+K54+L54+M54+N54+O54</f>
        <v>1100</v>
      </c>
      <c r="H54" s="563">
        <f aca="true" t="shared" si="27" ref="H54:H59">SUM(I54:J54)</f>
        <v>1100</v>
      </c>
      <c r="I54" s="563">
        <v>1100</v>
      </c>
      <c r="J54" s="563">
        <v>0</v>
      </c>
      <c r="K54" s="563">
        <v>0</v>
      </c>
      <c r="L54" s="563">
        <v>0</v>
      </c>
      <c r="M54" s="563">
        <v>0</v>
      </c>
      <c r="N54" s="563">
        <v>0</v>
      </c>
      <c r="O54" s="563">
        <v>0</v>
      </c>
      <c r="P54" s="563">
        <f aca="true" t="shared" si="28" ref="P54:P59">Q54+S54</f>
        <v>0</v>
      </c>
      <c r="Q54" s="563">
        <v>0</v>
      </c>
      <c r="R54" s="564">
        <v>0</v>
      </c>
      <c r="S54" s="563">
        <v>0</v>
      </c>
    </row>
    <row r="55" spans="1:19" ht="13.5" customHeight="1">
      <c r="A55" s="561"/>
      <c r="B55" s="561"/>
      <c r="C55" s="562" t="s">
        <v>123</v>
      </c>
      <c r="D55" s="563">
        <v>38500</v>
      </c>
      <c r="E55" s="563">
        <f t="shared" si="25"/>
        <v>26715.02</v>
      </c>
      <c r="F55" s="563">
        <f>E55/D55*100</f>
        <v>69.38966233766234</v>
      </c>
      <c r="G55" s="563">
        <f t="shared" si="26"/>
        <v>26715.02</v>
      </c>
      <c r="H55" s="563">
        <f t="shared" si="27"/>
        <v>26715.02</v>
      </c>
      <c r="I55" s="563">
        <v>0</v>
      </c>
      <c r="J55" s="563">
        <v>26715.02</v>
      </c>
      <c r="K55" s="563">
        <v>0</v>
      </c>
      <c r="L55" s="563">
        <v>0</v>
      </c>
      <c r="M55" s="563">
        <v>0</v>
      </c>
      <c r="N55" s="563">
        <v>0</v>
      </c>
      <c r="O55" s="563">
        <v>0</v>
      </c>
      <c r="P55" s="563">
        <f t="shared" si="28"/>
        <v>0</v>
      </c>
      <c r="Q55" s="563">
        <v>0</v>
      </c>
      <c r="R55" s="564">
        <v>0</v>
      </c>
      <c r="S55" s="563">
        <v>0</v>
      </c>
    </row>
    <row r="56" spans="1:19" ht="13.5" customHeight="1">
      <c r="A56" s="561"/>
      <c r="B56" s="561"/>
      <c r="C56" s="562" t="s">
        <v>124</v>
      </c>
      <c r="D56" s="563">
        <v>5000</v>
      </c>
      <c r="E56" s="563">
        <f t="shared" si="25"/>
        <v>2530.73</v>
      </c>
      <c r="F56" s="563">
        <f t="shared" si="23"/>
        <v>50.614599999999996</v>
      </c>
      <c r="G56" s="563">
        <f t="shared" si="26"/>
        <v>2530.73</v>
      </c>
      <c r="H56" s="563">
        <f t="shared" si="27"/>
        <v>2530.73</v>
      </c>
      <c r="I56" s="563">
        <v>0</v>
      </c>
      <c r="J56" s="563">
        <v>2530.73</v>
      </c>
      <c r="K56" s="563">
        <v>0</v>
      </c>
      <c r="L56" s="563">
        <v>0</v>
      </c>
      <c r="M56" s="563">
        <v>0</v>
      </c>
      <c r="N56" s="563">
        <v>0</v>
      </c>
      <c r="O56" s="563">
        <v>0</v>
      </c>
      <c r="P56" s="563">
        <f t="shared" si="28"/>
        <v>0</v>
      </c>
      <c r="Q56" s="563">
        <v>0</v>
      </c>
      <c r="R56" s="564">
        <v>0</v>
      </c>
      <c r="S56" s="563">
        <v>0</v>
      </c>
    </row>
    <row r="57" spans="1:19" ht="13.5" customHeight="1">
      <c r="A57" s="561"/>
      <c r="B57" s="561"/>
      <c r="C57" s="562" t="s">
        <v>125</v>
      </c>
      <c r="D57" s="563">
        <v>222400</v>
      </c>
      <c r="E57" s="563">
        <f t="shared" si="25"/>
        <v>209522.42</v>
      </c>
      <c r="F57" s="563">
        <f t="shared" si="23"/>
        <v>94.20972122302159</v>
      </c>
      <c r="G57" s="563">
        <f t="shared" si="26"/>
        <v>209522.42</v>
      </c>
      <c r="H57" s="563">
        <f t="shared" si="27"/>
        <v>209522.42</v>
      </c>
      <c r="I57" s="563">
        <v>0</v>
      </c>
      <c r="J57" s="563">
        <v>209522.42</v>
      </c>
      <c r="K57" s="563">
        <v>0</v>
      </c>
      <c r="L57" s="563">
        <v>0</v>
      </c>
      <c r="M57" s="563">
        <v>0</v>
      </c>
      <c r="N57" s="563">
        <v>0</v>
      </c>
      <c r="O57" s="563">
        <v>0</v>
      </c>
      <c r="P57" s="563">
        <f t="shared" si="28"/>
        <v>0</v>
      </c>
      <c r="Q57" s="563">
        <v>0</v>
      </c>
      <c r="R57" s="564">
        <v>0</v>
      </c>
      <c r="S57" s="563">
        <v>0</v>
      </c>
    </row>
    <row r="58" spans="1:19" ht="13.5" customHeight="1">
      <c r="A58" s="561"/>
      <c r="B58" s="561"/>
      <c r="C58" s="562" t="s">
        <v>300</v>
      </c>
      <c r="D58" s="563">
        <v>30000</v>
      </c>
      <c r="E58" s="563">
        <f t="shared" si="25"/>
        <v>6788.15</v>
      </c>
      <c r="F58" s="563">
        <f t="shared" si="23"/>
        <v>22.627166666666664</v>
      </c>
      <c r="G58" s="563">
        <f t="shared" si="26"/>
        <v>6788.15</v>
      </c>
      <c r="H58" s="563">
        <f t="shared" si="27"/>
        <v>6788.15</v>
      </c>
      <c r="I58" s="563">
        <v>0</v>
      </c>
      <c r="J58" s="563">
        <v>6788.15</v>
      </c>
      <c r="K58" s="563">
        <v>0</v>
      </c>
      <c r="L58" s="563">
        <v>0</v>
      </c>
      <c r="M58" s="563">
        <v>0</v>
      </c>
      <c r="N58" s="563">
        <v>0</v>
      </c>
      <c r="O58" s="563">
        <v>0</v>
      </c>
      <c r="P58" s="563">
        <f t="shared" si="28"/>
        <v>0</v>
      </c>
      <c r="Q58" s="563">
        <v>0</v>
      </c>
      <c r="R58" s="564">
        <v>0</v>
      </c>
      <c r="S58" s="563">
        <v>0</v>
      </c>
    </row>
    <row r="59" spans="1:19" ht="13.5" customHeight="1">
      <c r="A59" s="561"/>
      <c r="B59" s="561"/>
      <c r="C59" s="562" t="s">
        <v>145</v>
      </c>
      <c r="D59" s="563">
        <v>3000</v>
      </c>
      <c r="E59" s="563">
        <f t="shared" si="25"/>
        <v>2470</v>
      </c>
      <c r="F59" s="563">
        <f t="shared" si="23"/>
        <v>82.33333333333334</v>
      </c>
      <c r="G59" s="563">
        <f t="shared" si="26"/>
        <v>2470</v>
      </c>
      <c r="H59" s="563">
        <f t="shared" si="27"/>
        <v>2470</v>
      </c>
      <c r="I59" s="563">
        <v>0</v>
      </c>
      <c r="J59" s="563">
        <v>2470</v>
      </c>
      <c r="K59" s="563">
        <v>0</v>
      </c>
      <c r="L59" s="563">
        <v>0</v>
      </c>
      <c r="M59" s="563">
        <v>0</v>
      </c>
      <c r="N59" s="563">
        <v>0</v>
      </c>
      <c r="O59" s="563">
        <v>0</v>
      </c>
      <c r="P59" s="563">
        <f t="shared" si="28"/>
        <v>0</v>
      </c>
      <c r="Q59" s="563">
        <v>0</v>
      </c>
      <c r="R59" s="564">
        <v>0</v>
      </c>
      <c r="S59" s="563">
        <v>0</v>
      </c>
    </row>
    <row r="60" spans="1:19" ht="13.5" customHeight="1">
      <c r="A60" s="561"/>
      <c r="B60" s="554" t="s">
        <v>37</v>
      </c>
      <c r="C60" s="554"/>
      <c r="D60" s="560">
        <f>SUM(D61:D61)</f>
        <v>205</v>
      </c>
      <c r="E60" s="560">
        <f>SUM(E61:E61)</f>
        <v>195.83</v>
      </c>
      <c r="F60" s="560">
        <f t="shared" si="21"/>
        <v>95.52682926829269</v>
      </c>
      <c r="G60" s="560">
        <f aca="true" t="shared" si="29" ref="G60:S60">SUM(G61:G61)</f>
        <v>195.83</v>
      </c>
      <c r="H60" s="560">
        <f t="shared" si="29"/>
        <v>195.83</v>
      </c>
      <c r="I60" s="560">
        <f t="shared" si="29"/>
        <v>0</v>
      </c>
      <c r="J60" s="560">
        <f t="shared" si="29"/>
        <v>195.83</v>
      </c>
      <c r="K60" s="560">
        <f t="shared" si="29"/>
        <v>0</v>
      </c>
      <c r="L60" s="560">
        <f t="shared" si="29"/>
        <v>0</v>
      </c>
      <c r="M60" s="560">
        <f t="shared" si="29"/>
        <v>0</v>
      </c>
      <c r="N60" s="560">
        <f t="shared" si="29"/>
        <v>0</v>
      </c>
      <c r="O60" s="560">
        <f t="shared" si="29"/>
        <v>0</v>
      </c>
      <c r="P60" s="560">
        <f t="shared" si="29"/>
        <v>0</v>
      </c>
      <c r="Q60" s="560">
        <f t="shared" si="29"/>
        <v>0</v>
      </c>
      <c r="R60" s="560">
        <f t="shared" si="29"/>
        <v>0</v>
      </c>
      <c r="S60" s="560">
        <f t="shared" si="29"/>
        <v>0</v>
      </c>
    </row>
    <row r="61" spans="1:19" ht="13.5" customHeight="1">
      <c r="A61" s="561"/>
      <c r="B61" s="561"/>
      <c r="C61" s="562" t="s">
        <v>123</v>
      </c>
      <c r="D61" s="563">
        <v>205</v>
      </c>
      <c r="E61" s="563">
        <f>G61+P61</f>
        <v>195.83</v>
      </c>
      <c r="F61" s="563">
        <f t="shared" si="21"/>
        <v>95.52682926829269</v>
      </c>
      <c r="G61" s="563">
        <f>H61+K61+L61+M61+N61+O61</f>
        <v>195.83</v>
      </c>
      <c r="H61" s="563">
        <f>SUM(I61:J61)</f>
        <v>195.83</v>
      </c>
      <c r="I61" s="563">
        <v>0</v>
      </c>
      <c r="J61" s="563">
        <v>195.83</v>
      </c>
      <c r="K61" s="563">
        <v>0</v>
      </c>
      <c r="L61" s="563">
        <v>0</v>
      </c>
      <c r="M61" s="563">
        <v>0</v>
      </c>
      <c r="N61" s="563">
        <v>0</v>
      </c>
      <c r="O61" s="563">
        <v>0</v>
      </c>
      <c r="P61" s="563">
        <f>Q61+S61</f>
        <v>0</v>
      </c>
      <c r="Q61" s="563">
        <v>0</v>
      </c>
      <c r="R61" s="564">
        <v>0</v>
      </c>
      <c r="S61" s="563">
        <v>0</v>
      </c>
    </row>
    <row r="62" spans="1:19" ht="13.5" customHeight="1">
      <c r="A62" s="557" t="s">
        <v>19</v>
      </c>
      <c r="B62" s="557"/>
      <c r="C62" s="554"/>
      <c r="D62" s="560">
        <f>D63+D67+D75+D107+D112+D102</f>
        <v>7449861</v>
      </c>
      <c r="E62" s="560">
        <f>E63+E67+E75+E107+E112+E102</f>
        <v>7201816.430000003</v>
      </c>
      <c r="F62" s="560">
        <f t="shared" si="21"/>
        <v>96.67048056332868</v>
      </c>
      <c r="G62" s="560">
        <f aca="true" t="shared" si="30" ref="G62:S62">G63+G67+G75+G107+G112+G102</f>
        <v>7092529.080000004</v>
      </c>
      <c r="H62" s="560">
        <f t="shared" si="30"/>
        <v>6669571.130000004</v>
      </c>
      <c r="I62" s="560">
        <f t="shared" si="30"/>
        <v>4740950.98</v>
      </c>
      <c r="J62" s="560">
        <f t="shared" si="30"/>
        <v>1928620.15</v>
      </c>
      <c r="K62" s="560">
        <f t="shared" si="30"/>
        <v>0</v>
      </c>
      <c r="L62" s="560">
        <f t="shared" si="30"/>
        <v>422957.95</v>
      </c>
      <c r="M62" s="560">
        <f t="shared" si="30"/>
        <v>0</v>
      </c>
      <c r="N62" s="560">
        <f t="shared" si="30"/>
        <v>0</v>
      </c>
      <c r="O62" s="560">
        <f t="shared" si="30"/>
        <v>0</v>
      </c>
      <c r="P62" s="560">
        <f t="shared" si="30"/>
        <v>109287.35</v>
      </c>
      <c r="Q62" s="560">
        <f t="shared" si="30"/>
        <v>109287.35</v>
      </c>
      <c r="R62" s="560">
        <f t="shared" si="30"/>
        <v>0</v>
      </c>
      <c r="S62" s="560">
        <f t="shared" si="30"/>
        <v>0</v>
      </c>
    </row>
    <row r="63" spans="1:19" ht="13.5" customHeight="1">
      <c r="A63" s="557"/>
      <c r="B63" s="554" t="s">
        <v>20</v>
      </c>
      <c r="C63" s="554"/>
      <c r="D63" s="560">
        <f>SUM(D64:D66)</f>
        <v>121590</v>
      </c>
      <c r="E63" s="560">
        <f>SUM(E64:E66)</f>
        <v>118829.41</v>
      </c>
      <c r="F63" s="560">
        <f t="shared" si="21"/>
        <v>97.72959124928036</v>
      </c>
      <c r="G63" s="560">
        <f aca="true" t="shared" si="31" ref="G63:S63">SUM(G64:G66)</f>
        <v>118829.41</v>
      </c>
      <c r="H63" s="560">
        <f t="shared" si="31"/>
        <v>118829.41</v>
      </c>
      <c r="I63" s="560">
        <f t="shared" si="31"/>
        <v>118829.41</v>
      </c>
      <c r="J63" s="560">
        <f t="shared" si="31"/>
        <v>0</v>
      </c>
      <c r="K63" s="560">
        <f t="shared" si="31"/>
        <v>0</v>
      </c>
      <c r="L63" s="560">
        <f t="shared" si="31"/>
        <v>0</v>
      </c>
      <c r="M63" s="560">
        <f t="shared" si="31"/>
        <v>0</v>
      </c>
      <c r="N63" s="560">
        <f t="shared" si="31"/>
        <v>0</v>
      </c>
      <c r="O63" s="560">
        <f t="shared" si="31"/>
        <v>0</v>
      </c>
      <c r="P63" s="560">
        <f t="shared" si="31"/>
        <v>0</v>
      </c>
      <c r="Q63" s="560">
        <f t="shared" si="31"/>
        <v>0</v>
      </c>
      <c r="R63" s="560">
        <f t="shared" si="31"/>
        <v>0</v>
      </c>
      <c r="S63" s="560">
        <f t="shared" si="31"/>
        <v>0</v>
      </c>
    </row>
    <row r="64" spans="1:19" ht="13.5" customHeight="1">
      <c r="A64" s="561"/>
      <c r="B64" s="561"/>
      <c r="C64" s="562" t="s">
        <v>295</v>
      </c>
      <c r="D64" s="563">
        <v>96738</v>
      </c>
      <c r="E64" s="563">
        <f>G64+P64</f>
        <v>96385.32</v>
      </c>
      <c r="F64" s="563">
        <f t="shared" si="21"/>
        <v>99.6354276499411</v>
      </c>
      <c r="G64" s="563">
        <f>H64+K64+L64+M64+N64+O64</f>
        <v>96385.32</v>
      </c>
      <c r="H64" s="563">
        <f>SUM(I64:J64)</f>
        <v>96385.32</v>
      </c>
      <c r="I64" s="563">
        <v>96385.32</v>
      </c>
      <c r="J64" s="563">
        <v>0</v>
      </c>
      <c r="K64" s="563">
        <v>0</v>
      </c>
      <c r="L64" s="563">
        <v>0</v>
      </c>
      <c r="M64" s="563">
        <v>0</v>
      </c>
      <c r="N64" s="563">
        <v>0</v>
      </c>
      <c r="O64" s="563">
        <v>0</v>
      </c>
      <c r="P64" s="563">
        <f>Q64+S64</f>
        <v>0</v>
      </c>
      <c r="Q64" s="563">
        <v>0</v>
      </c>
      <c r="R64" s="564">
        <v>0</v>
      </c>
      <c r="S64" s="563">
        <v>0</v>
      </c>
    </row>
    <row r="65" spans="1:19" ht="13.5" customHeight="1">
      <c r="A65" s="561"/>
      <c r="B65" s="561"/>
      <c r="C65" s="562" t="s">
        <v>297</v>
      </c>
      <c r="D65" s="563">
        <v>21633</v>
      </c>
      <c r="E65" s="563">
        <f>G65+P65</f>
        <v>19275.28</v>
      </c>
      <c r="F65" s="563">
        <f t="shared" si="21"/>
        <v>89.10128045116257</v>
      </c>
      <c r="G65" s="563">
        <f>H65+K65+L65+M65+N65+O65</f>
        <v>19275.28</v>
      </c>
      <c r="H65" s="563">
        <f>SUM(I65:J65)</f>
        <v>19275.28</v>
      </c>
      <c r="I65" s="563">
        <v>19275.28</v>
      </c>
      <c r="J65" s="563">
        <v>0</v>
      </c>
      <c r="K65" s="563">
        <v>0</v>
      </c>
      <c r="L65" s="563">
        <v>0</v>
      </c>
      <c r="M65" s="563">
        <v>0</v>
      </c>
      <c r="N65" s="563">
        <v>0</v>
      </c>
      <c r="O65" s="563">
        <v>0</v>
      </c>
      <c r="P65" s="563">
        <f>Q65+S65</f>
        <v>0</v>
      </c>
      <c r="Q65" s="563">
        <v>0</v>
      </c>
      <c r="R65" s="564">
        <v>0</v>
      </c>
      <c r="S65" s="563">
        <v>0</v>
      </c>
    </row>
    <row r="66" spans="1:19" ht="13.5" customHeight="1">
      <c r="A66" s="561"/>
      <c r="B66" s="561"/>
      <c r="C66" s="562" t="s">
        <v>298</v>
      </c>
      <c r="D66" s="563">
        <v>3219</v>
      </c>
      <c r="E66" s="563">
        <f>G66+P66</f>
        <v>3168.81</v>
      </c>
      <c r="F66" s="563">
        <f t="shared" si="21"/>
        <v>98.4408201304753</v>
      </c>
      <c r="G66" s="563">
        <f>H66+K66+L66+M66+N66+O66</f>
        <v>3168.81</v>
      </c>
      <c r="H66" s="563">
        <f>SUM(I66:J66)</f>
        <v>3168.81</v>
      </c>
      <c r="I66" s="563">
        <v>3168.81</v>
      </c>
      <c r="J66" s="563">
        <v>0</v>
      </c>
      <c r="K66" s="563">
        <v>0</v>
      </c>
      <c r="L66" s="563">
        <v>0</v>
      </c>
      <c r="M66" s="563">
        <v>0</v>
      </c>
      <c r="N66" s="563">
        <v>0</v>
      </c>
      <c r="O66" s="563">
        <v>0</v>
      </c>
      <c r="P66" s="563">
        <f>Q66+S66</f>
        <v>0</v>
      </c>
      <c r="Q66" s="563">
        <v>0</v>
      </c>
      <c r="R66" s="564">
        <v>0</v>
      </c>
      <c r="S66" s="563">
        <v>0</v>
      </c>
    </row>
    <row r="67" spans="1:19" ht="13.5" customHeight="1">
      <c r="A67" s="561"/>
      <c r="B67" s="554" t="s">
        <v>330</v>
      </c>
      <c r="C67" s="554"/>
      <c r="D67" s="560">
        <f>SUM(D68:D74)</f>
        <v>441913</v>
      </c>
      <c r="E67" s="560">
        <f>SUM(E68:E74)</f>
        <v>441035.62000000005</v>
      </c>
      <c r="F67" s="560">
        <f t="shared" si="21"/>
        <v>99.80145865815219</v>
      </c>
      <c r="G67" s="560">
        <f aca="true" t="shared" si="32" ref="G67:S67">SUM(G68:G74)</f>
        <v>399525.37000000005</v>
      </c>
      <c r="H67" s="560">
        <f t="shared" si="32"/>
        <v>18262.25</v>
      </c>
      <c r="I67" s="560">
        <f t="shared" si="32"/>
        <v>0</v>
      </c>
      <c r="J67" s="560">
        <f t="shared" si="32"/>
        <v>18262.25</v>
      </c>
      <c r="K67" s="560">
        <f t="shared" si="32"/>
        <v>0</v>
      </c>
      <c r="L67" s="560">
        <f t="shared" si="32"/>
        <v>381263.12</v>
      </c>
      <c r="M67" s="560">
        <f t="shared" si="32"/>
        <v>0</v>
      </c>
      <c r="N67" s="560">
        <f t="shared" si="32"/>
        <v>0</v>
      </c>
      <c r="O67" s="560">
        <f t="shared" si="32"/>
        <v>0</v>
      </c>
      <c r="P67" s="560">
        <f t="shared" si="32"/>
        <v>41510.25</v>
      </c>
      <c r="Q67" s="560">
        <f t="shared" si="32"/>
        <v>41510.25</v>
      </c>
      <c r="R67" s="560">
        <f t="shared" si="32"/>
        <v>0</v>
      </c>
      <c r="S67" s="560">
        <f t="shared" si="32"/>
        <v>0</v>
      </c>
    </row>
    <row r="68" spans="1:19" ht="13.5" customHeight="1">
      <c r="A68" s="561"/>
      <c r="B68" s="561"/>
      <c r="C68" s="562" t="s">
        <v>323</v>
      </c>
      <c r="D68" s="563">
        <v>381263</v>
      </c>
      <c r="E68" s="563">
        <f aca="true" t="shared" si="33" ref="E68:E74">G68+P68</f>
        <v>381263.12</v>
      </c>
      <c r="F68" s="563">
        <f t="shared" si="21"/>
        <v>100.00003147433661</v>
      </c>
      <c r="G68" s="563">
        <f aca="true" t="shared" si="34" ref="G68:G74">H68+K68+L68+M68+N68+O68</f>
        <v>381263.12</v>
      </c>
      <c r="H68" s="563">
        <f aca="true" t="shared" si="35" ref="H68:H74">SUM(I68:J68)</f>
        <v>0</v>
      </c>
      <c r="I68" s="563">
        <v>0</v>
      </c>
      <c r="J68" s="563">
        <v>0</v>
      </c>
      <c r="K68" s="563">
        <v>0</v>
      </c>
      <c r="L68" s="563">
        <v>381263.12</v>
      </c>
      <c r="M68" s="563">
        <v>0</v>
      </c>
      <c r="N68" s="563">
        <v>0</v>
      </c>
      <c r="O68" s="563">
        <v>0</v>
      </c>
      <c r="P68" s="563">
        <f aca="true" t="shared" si="36" ref="P68:P74">Q68+S68</f>
        <v>0</v>
      </c>
      <c r="Q68" s="563">
        <v>0</v>
      </c>
      <c r="R68" s="564">
        <v>0</v>
      </c>
      <c r="S68" s="563">
        <v>0</v>
      </c>
    </row>
    <row r="69" spans="1:19" ht="13.5" customHeight="1">
      <c r="A69" s="561"/>
      <c r="B69" s="561"/>
      <c r="C69" s="562" t="s">
        <v>123</v>
      </c>
      <c r="D69" s="563">
        <v>3590</v>
      </c>
      <c r="E69" s="563">
        <f t="shared" si="33"/>
        <v>3451.37</v>
      </c>
      <c r="F69" s="563">
        <f t="shared" si="21"/>
        <v>96.1384401114206</v>
      </c>
      <c r="G69" s="563">
        <f t="shared" si="34"/>
        <v>3451.37</v>
      </c>
      <c r="H69" s="563">
        <f t="shared" si="35"/>
        <v>3451.37</v>
      </c>
      <c r="I69" s="563">
        <v>0</v>
      </c>
      <c r="J69" s="563">
        <v>3451.37</v>
      </c>
      <c r="K69" s="563">
        <v>0</v>
      </c>
      <c r="L69" s="563">
        <v>0</v>
      </c>
      <c r="M69" s="563">
        <v>0</v>
      </c>
      <c r="N69" s="563">
        <v>0</v>
      </c>
      <c r="O69" s="563">
        <v>0</v>
      </c>
      <c r="P69" s="563">
        <f t="shared" si="36"/>
        <v>0</v>
      </c>
      <c r="Q69" s="563">
        <v>0</v>
      </c>
      <c r="R69" s="564">
        <v>0</v>
      </c>
      <c r="S69" s="563">
        <v>0</v>
      </c>
    </row>
    <row r="70" spans="1:19" ht="13.5" customHeight="1">
      <c r="A70" s="561"/>
      <c r="B70" s="561"/>
      <c r="C70" s="562" t="s">
        <v>331</v>
      </c>
      <c r="D70" s="563">
        <v>165</v>
      </c>
      <c r="E70" s="563">
        <f t="shared" si="33"/>
        <v>0</v>
      </c>
      <c r="F70" s="563">
        <f>E70/D70*100</f>
        <v>0</v>
      </c>
      <c r="G70" s="563">
        <f t="shared" si="34"/>
        <v>0</v>
      </c>
      <c r="H70" s="563">
        <f t="shared" si="35"/>
        <v>0</v>
      </c>
      <c r="I70" s="563">
        <v>0</v>
      </c>
      <c r="J70" s="563">
        <v>0</v>
      </c>
      <c r="K70" s="563">
        <v>0</v>
      </c>
      <c r="L70" s="563">
        <v>0</v>
      </c>
      <c r="M70" s="563">
        <v>0</v>
      </c>
      <c r="N70" s="563">
        <v>0</v>
      </c>
      <c r="O70" s="563">
        <v>0</v>
      </c>
      <c r="P70" s="563">
        <f t="shared" si="36"/>
        <v>0</v>
      </c>
      <c r="Q70" s="563">
        <v>0</v>
      </c>
      <c r="R70" s="564">
        <v>0</v>
      </c>
      <c r="S70" s="563">
        <v>0</v>
      </c>
    </row>
    <row r="71" spans="1:19" ht="13.5" customHeight="1">
      <c r="A71" s="561"/>
      <c r="B71" s="561"/>
      <c r="C71" s="562" t="s">
        <v>124</v>
      </c>
      <c r="D71" s="563">
        <v>1968</v>
      </c>
      <c r="E71" s="563">
        <f t="shared" si="33"/>
        <v>1967.9</v>
      </c>
      <c r="F71" s="563">
        <f>E71/D71*100</f>
        <v>99.994918699187</v>
      </c>
      <c r="G71" s="563">
        <f t="shared" si="34"/>
        <v>1967.9</v>
      </c>
      <c r="H71" s="563">
        <f t="shared" si="35"/>
        <v>1967.9</v>
      </c>
      <c r="I71" s="563">
        <v>0</v>
      </c>
      <c r="J71" s="563">
        <v>1967.9</v>
      </c>
      <c r="K71" s="563">
        <v>0</v>
      </c>
      <c r="L71" s="563">
        <v>0</v>
      </c>
      <c r="M71" s="563">
        <v>0</v>
      </c>
      <c r="N71" s="563">
        <v>0</v>
      </c>
      <c r="O71" s="563">
        <v>0</v>
      </c>
      <c r="P71" s="563">
        <f t="shared" si="36"/>
        <v>0</v>
      </c>
      <c r="Q71" s="563">
        <v>0</v>
      </c>
      <c r="R71" s="564">
        <v>0</v>
      </c>
      <c r="S71" s="563">
        <v>0</v>
      </c>
    </row>
    <row r="72" spans="1:19" ht="13.5" customHeight="1">
      <c r="A72" s="561"/>
      <c r="B72" s="561"/>
      <c r="C72" s="562" t="s">
        <v>125</v>
      </c>
      <c r="D72" s="563">
        <v>12842</v>
      </c>
      <c r="E72" s="563">
        <f t="shared" si="33"/>
        <v>12309.46</v>
      </c>
      <c r="F72" s="563">
        <f>E72/D72*100</f>
        <v>95.85313814047656</v>
      </c>
      <c r="G72" s="563">
        <f t="shared" si="34"/>
        <v>12309.46</v>
      </c>
      <c r="H72" s="563">
        <f t="shared" si="35"/>
        <v>12309.46</v>
      </c>
      <c r="I72" s="563">
        <v>0</v>
      </c>
      <c r="J72" s="563">
        <v>12309.46</v>
      </c>
      <c r="K72" s="563">
        <v>0</v>
      </c>
      <c r="L72" s="563">
        <v>0</v>
      </c>
      <c r="M72" s="563">
        <v>0</v>
      </c>
      <c r="N72" s="563">
        <v>0</v>
      </c>
      <c r="O72" s="563">
        <v>0</v>
      </c>
      <c r="P72" s="563">
        <f t="shared" si="36"/>
        <v>0</v>
      </c>
      <c r="Q72" s="563">
        <v>0</v>
      </c>
      <c r="R72" s="564">
        <v>0</v>
      </c>
      <c r="S72" s="563">
        <v>0</v>
      </c>
    </row>
    <row r="73" spans="1:19" ht="13.5" customHeight="1">
      <c r="A73" s="561"/>
      <c r="B73" s="561"/>
      <c r="C73" s="562" t="s">
        <v>300</v>
      </c>
      <c r="D73" s="563">
        <v>535</v>
      </c>
      <c r="E73" s="563">
        <f t="shared" si="33"/>
        <v>533.52</v>
      </c>
      <c r="F73" s="563">
        <f>E73/D73*100</f>
        <v>99.7233644859813</v>
      </c>
      <c r="G73" s="563">
        <f t="shared" si="34"/>
        <v>533.52</v>
      </c>
      <c r="H73" s="563">
        <f t="shared" si="35"/>
        <v>533.52</v>
      </c>
      <c r="I73" s="563">
        <v>0</v>
      </c>
      <c r="J73" s="563">
        <v>533.52</v>
      </c>
      <c r="K73" s="563">
        <v>0</v>
      </c>
      <c r="L73" s="563">
        <v>0</v>
      </c>
      <c r="M73" s="563">
        <v>0</v>
      </c>
      <c r="N73" s="563">
        <v>0</v>
      </c>
      <c r="O73" s="563">
        <v>0</v>
      </c>
      <c r="P73" s="563">
        <f t="shared" si="36"/>
        <v>0</v>
      </c>
      <c r="Q73" s="563">
        <v>0</v>
      </c>
      <c r="R73" s="564">
        <v>0</v>
      </c>
      <c r="S73" s="563">
        <v>0</v>
      </c>
    </row>
    <row r="74" spans="1:19" ht="13.5" customHeight="1">
      <c r="A74" s="561"/>
      <c r="B74" s="561"/>
      <c r="C74" s="562" t="s">
        <v>326</v>
      </c>
      <c r="D74" s="563">
        <v>41550</v>
      </c>
      <c r="E74" s="563">
        <f t="shared" si="33"/>
        <v>41510.25</v>
      </c>
      <c r="F74" s="563">
        <f t="shared" si="21"/>
        <v>99.9043321299639</v>
      </c>
      <c r="G74" s="563">
        <f t="shared" si="34"/>
        <v>0</v>
      </c>
      <c r="H74" s="563">
        <f t="shared" si="35"/>
        <v>0</v>
      </c>
      <c r="I74" s="563">
        <v>0</v>
      </c>
      <c r="J74" s="563">
        <v>0</v>
      </c>
      <c r="K74" s="563">
        <v>0</v>
      </c>
      <c r="L74" s="563">
        <v>0</v>
      </c>
      <c r="M74" s="563">
        <v>0</v>
      </c>
      <c r="N74" s="563">
        <v>0</v>
      </c>
      <c r="O74" s="563">
        <v>0</v>
      </c>
      <c r="P74" s="563">
        <f t="shared" si="36"/>
        <v>41510.25</v>
      </c>
      <c r="Q74" s="563">
        <v>41510.25</v>
      </c>
      <c r="R74" s="564">
        <v>0</v>
      </c>
      <c r="S74" s="563">
        <v>0</v>
      </c>
    </row>
    <row r="75" spans="1:19" ht="13.5" customHeight="1">
      <c r="A75" s="561"/>
      <c r="B75" s="554" t="s">
        <v>21</v>
      </c>
      <c r="C75" s="554"/>
      <c r="D75" s="560">
        <f>SUM(D76:D101)</f>
        <v>6731196</v>
      </c>
      <c r="E75" s="560">
        <f>SUM(E76:E101)</f>
        <v>6492501.500000002</v>
      </c>
      <c r="F75" s="560">
        <f t="shared" si="21"/>
        <v>96.45390655687342</v>
      </c>
      <c r="G75" s="560">
        <f aca="true" t="shared" si="37" ref="G75:S75">SUM(G76:G101)</f>
        <v>6424724.400000002</v>
      </c>
      <c r="H75" s="560">
        <f t="shared" si="37"/>
        <v>6383029.570000002</v>
      </c>
      <c r="I75" s="560">
        <f t="shared" si="37"/>
        <v>4592420.87</v>
      </c>
      <c r="J75" s="560">
        <f t="shared" si="37"/>
        <v>1790608.7</v>
      </c>
      <c r="K75" s="560">
        <f t="shared" si="37"/>
        <v>0</v>
      </c>
      <c r="L75" s="560">
        <f t="shared" si="37"/>
        <v>41694.83</v>
      </c>
      <c r="M75" s="560">
        <f t="shared" si="37"/>
        <v>0</v>
      </c>
      <c r="N75" s="560">
        <f t="shared" si="37"/>
        <v>0</v>
      </c>
      <c r="O75" s="560">
        <f t="shared" si="37"/>
        <v>0</v>
      </c>
      <c r="P75" s="560">
        <f t="shared" si="37"/>
        <v>67777.1</v>
      </c>
      <c r="Q75" s="560">
        <f t="shared" si="37"/>
        <v>67777.1</v>
      </c>
      <c r="R75" s="560">
        <f t="shared" si="37"/>
        <v>0</v>
      </c>
      <c r="S75" s="560">
        <f t="shared" si="37"/>
        <v>0</v>
      </c>
    </row>
    <row r="76" spans="1:19" ht="13.5" customHeight="1">
      <c r="A76" s="561"/>
      <c r="B76" s="561"/>
      <c r="C76" s="562" t="s">
        <v>307</v>
      </c>
      <c r="D76" s="563">
        <v>41700</v>
      </c>
      <c r="E76" s="563">
        <f>G76+P76</f>
        <v>41694.83</v>
      </c>
      <c r="F76" s="563">
        <f t="shared" si="21"/>
        <v>99.98760191846523</v>
      </c>
      <c r="G76" s="563">
        <f>H76+K76+L76+M76+N76+O76</f>
        <v>41694.83</v>
      </c>
      <c r="H76" s="563">
        <f>SUM(I76:J76)</f>
        <v>0</v>
      </c>
      <c r="I76" s="563">
        <v>0</v>
      </c>
      <c r="J76" s="563">
        <v>0</v>
      </c>
      <c r="K76" s="563">
        <v>0</v>
      </c>
      <c r="L76" s="563">
        <v>41694.83</v>
      </c>
      <c r="M76" s="563">
        <v>0</v>
      </c>
      <c r="N76" s="563">
        <v>0</v>
      </c>
      <c r="O76" s="563">
        <v>0</v>
      </c>
      <c r="P76" s="563">
        <f>Q76+S76</f>
        <v>0</v>
      </c>
      <c r="Q76" s="563">
        <v>0</v>
      </c>
      <c r="R76" s="564">
        <v>0</v>
      </c>
      <c r="S76" s="563">
        <v>0</v>
      </c>
    </row>
    <row r="77" spans="1:19" ht="13.5" customHeight="1">
      <c r="A77" s="561"/>
      <c r="B77" s="561"/>
      <c r="C77" s="562" t="s">
        <v>295</v>
      </c>
      <c r="D77" s="563">
        <v>3752312</v>
      </c>
      <c r="E77" s="563">
        <f>G77+P77</f>
        <v>3612680.33</v>
      </c>
      <c r="F77" s="563">
        <f t="shared" si="21"/>
        <v>96.2787830542876</v>
      </c>
      <c r="G77" s="563">
        <f>H77+K77+L77+M77+N77+O77</f>
        <v>3612680.33</v>
      </c>
      <c r="H77" s="563">
        <f>SUM(I77:J77)</f>
        <v>3612680.33</v>
      </c>
      <c r="I77" s="563">
        <v>3612680.33</v>
      </c>
      <c r="J77" s="563">
        <v>0</v>
      </c>
      <c r="K77" s="563">
        <v>0</v>
      </c>
      <c r="L77" s="563">
        <v>0</v>
      </c>
      <c r="M77" s="563">
        <v>0</v>
      </c>
      <c r="N77" s="563">
        <v>0</v>
      </c>
      <c r="O77" s="563">
        <v>0</v>
      </c>
      <c r="P77" s="563">
        <f>Q77+S77</f>
        <v>0</v>
      </c>
      <c r="Q77" s="563">
        <v>0</v>
      </c>
      <c r="R77" s="564">
        <v>0</v>
      </c>
      <c r="S77" s="563">
        <v>0</v>
      </c>
    </row>
    <row r="78" spans="1:19" ht="13.5" customHeight="1">
      <c r="A78" s="561"/>
      <c r="B78" s="561"/>
      <c r="C78" s="562" t="s">
        <v>296</v>
      </c>
      <c r="D78" s="563">
        <v>297865</v>
      </c>
      <c r="E78" s="563">
        <f>G78+P78</f>
        <v>297864.32</v>
      </c>
      <c r="F78" s="563">
        <f t="shared" si="21"/>
        <v>99.99977170865996</v>
      </c>
      <c r="G78" s="563">
        <f>H78+K78+L78+M78+N78+O78</f>
        <v>297864.32</v>
      </c>
      <c r="H78" s="563">
        <f>SUM(I78:J78)</f>
        <v>297864.32</v>
      </c>
      <c r="I78" s="563">
        <v>297864.32</v>
      </c>
      <c r="J78" s="563">
        <v>0</v>
      </c>
      <c r="K78" s="563">
        <v>0</v>
      </c>
      <c r="L78" s="563">
        <v>0</v>
      </c>
      <c r="M78" s="563">
        <v>0</v>
      </c>
      <c r="N78" s="563">
        <v>0</v>
      </c>
      <c r="O78" s="563">
        <v>0</v>
      </c>
      <c r="P78" s="563">
        <f>Q78+S78</f>
        <v>0</v>
      </c>
      <c r="Q78" s="563">
        <v>0</v>
      </c>
      <c r="R78" s="564">
        <v>0</v>
      </c>
      <c r="S78" s="563">
        <v>0</v>
      </c>
    </row>
    <row r="79" spans="1:19" ht="13.5" customHeight="1">
      <c r="A79" s="561"/>
      <c r="B79" s="561"/>
      <c r="C79" s="562" t="s">
        <v>297</v>
      </c>
      <c r="D79" s="563">
        <v>624651</v>
      </c>
      <c r="E79" s="563">
        <f aca="true" t="shared" si="38" ref="E79:E86">G79+P79</f>
        <v>618566.86</v>
      </c>
      <c r="F79" s="563">
        <f aca="true" t="shared" si="39" ref="F79:F86">E79/D79*100</f>
        <v>99.02599371489039</v>
      </c>
      <c r="G79" s="563">
        <f aca="true" t="shared" si="40" ref="G79:G86">H79+K79+L79+M79+N79+O79</f>
        <v>618566.86</v>
      </c>
      <c r="H79" s="563">
        <f aca="true" t="shared" si="41" ref="H79:H86">SUM(I79:J79)</f>
        <v>618566.86</v>
      </c>
      <c r="I79" s="563">
        <v>618566.86</v>
      </c>
      <c r="J79" s="563">
        <v>0</v>
      </c>
      <c r="K79" s="563">
        <v>0</v>
      </c>
      <c r="L79" s="563">
        <v>0</v>
      </c>
      <c r="M79" s="563">
        <v>0</v>
      </c>
      <c r="N79" s="563">
        <v>0</v>
      </c>
      <c r="O79" s="563">
        <v>0</v>
      </c>
      <c r="P79" s="563">
        <f aca="true" t="shared" si="42" ref="P79:P86">Q79+S79</f>
        <v>0</v>
      </c>
      <c r="Q79" s="563">
        <v>0</v>
      </c>
      <c r="R79" s="564">
        <v>0</v>
      </c>
      <c r="S79" s="563">
        <v>0</v>
      </c>
    </row>
    <row r="80" spans="1:19" ht="13.5" customHeight="1">
      <c r="A80" s="561"/>
      <c r="B80" s="561"/>
      <c r="C80" s="562" t="s">
        <v>298</v>
      </c>
      <c r="D80" s="563">
        <v>64082</v>
      </c>
      <c r="E80" s="563">
        <f t="shared" si="38"/>
        <v>63309.36</v>
      </c>
      <c r="F80" s="563">
        <f t="shared" si="39"/>
        <v>98.79429480977497</v>
      </c>
      <c r="G80" s="563">
        <f t="shared" si="40"/>
        <v>63309.36</v>
      </c>
      <c r="H80" s="563">
        <f t="shared" si="41"/>
        <v>63309.36</v>
      </c>
      <c r="I80" s="563">
        <v>63309.36</v>
      </c>
      <c r="J80" s="563">
        <v>0</v>
      </c>
      <c r="K80" s="563">
        <v>0</v>
      </c>
      <c r="L80" s="563">
        <v>0</v>
      </c>
      <c r="M80" s="563">
        <v>0</v>
      </c>
      <c r="N80" s="563">
        <v>0</v>
      </c>
      <c r="O80" s="563">
        <v>0</v>
      </c>
      <c r="P80" s="563">
        <f t="shared" si="42"/>
        <v>0</v>
      </c>
      <c r="Q80" s="563">
        <v>0</v>
      </c>
      <c r="R80" s="564">
        <v>0</v>
      </c>
      <c r="S80" s="563">
        <v>0</v>
      </c>
    </row>
    <row r="81" spans="1:19" ht="13.5" customHeight="1">
      <c r="A81" s="561"/>
      <c r="B81" s="561"/>
      <c r="C81" s="562" t="s">
        <v>305</v>
      </c>
      <c r="D81" s="563">
        <v>1040</v>
      </c>
      <c r="E81" s="563">
        <f t="shared" si="38"/>
        <v>0</v>
      </c>
      <c r="F81" s="563">
        <f t="shared" si="39"/>
        <v>0</v>
      </c>
      <c r="G81" s="563">
        <f t="shared" si="40"/>
        <v>0</v>
      </c>
      <c r="H81" s="563">
        <f t="shared" si="41"/>
        <v>0</v>
      </c>
      <c r="I81" s="563">
        <v>0</v>
      </c>
      <c r="J81" s="563">
        <v>0</v>
      </c>
      <c r="K81" s="563">
        <v>0</v>
      </c>
      <c r="L81" s="563">
        <v>0</v>
      </c>
      <c r="M81" s="563">
        <v>0</v>
      </c>
      <c r="N81" s="563">
        <v>0</v>
      </c>
      <c r="O81" s="563">
        <v>0</v>
      </c>
      <c r="P81" s="563">
        <f t="shared" si="42"/>
        <v>0</v>
      </c>
      <c r="Q81" s="563">
        <v>0</v>
      </c>
      <c r="R81" s="564">
        <v>0</v>
      </c>
      <c r="S81" s="563">
        <v>0</v>
      </c>
    </row>
    <row r="82" spans="1:19" ht="13.5" customHeight="1">
      <c r="A82" s="561"/>
      <c r="B82" s="561"/>
      <c r="C82" s="562" t="s">
        <v>123</v>
      </c>
      <c r="D82" s="563">
        <v>887132</v>
      </c>
      <c r="E82" s="563">
        <f t="shared" si="38"/>
        <v>869854.6900000001</v>
      </c>
      <c r="F82" s="563">
        <f t="shared" si="39"/>
        <v>98.05245329894538</v>
      </c>
      <c r="G82" s="563">
        <f t="shared" si="40"/>
        <v>869854.6900000001</v>
      </c>
      <c r="H82" s="563">
        <f t="shared" si="41"/>
        <v>869854.6900000001</v>
      </c>
      <c r="I82" s="563">
        <v>0</v>
      </c>
      <c r="J82" s="563">
        <f>196694.53+673160.16</f>
        <v>869854.6900000001</v>
      </c>
      <c r="K82" s="563">
        <v>0</v>
      </c>
      <c r="L82" s="563">
        <v>0</v>
      </c>
      <c r="M82" s="563">
        <v>0</v>
      </c>
      <c r="N82" s="563">
        <v>0</v>
      </c>
      <c r="O82" s="563">
        <v>0</v>
      </c>
      <c r="P82" s="563">
        <f t="shared" si="42"/>
        <v>0</v>
      </c>
      <c r="Q82" s="563">
        <v>0</v>
      </c>
      <c r="R82" s="564">
        <v>0</v>
      </c>
      <c r="S82" s="563">
        <v>0</v>
      </c>
    </row>
    <row r="83" spans="1:19" ht="13.5" customHeight="1">
      <c r="A83" s="561"/>
      <c r="B83" s="561"/>
      <c r="C83" s="562" t="s">
        <v>331</v>
      </c>
      <c r="D83" s="563">
        <v>6000</v>
      </c>
      <c r="E83" s="563">
        <f t="shared" si="38"/>
        <v>5492.86</v>
      </c>
      <c r="F83" s="563">
        <f t="shared" si="39"/>
        <v>91.54766666666666</v>
      </c>
      <c r="G83" s="563">
        <f t="shared" si="40"/>
        <v>5492.86</v>
      </c>
      <c r="H83" s="563">
        <f t="shared" si="41"/>
        <v>5492.86</v>
      </c>
      <c r="I83" s="563">
        <v>0</v>
      </c>
      <c r="J83" s="563">
        <v>5492.86</v>
      </c>
      <c r="K83" s="563">
        <v>0</v>
      </c>
      <c r="L83" s="563">
        <v>0</v>
      </c>
      <c r="M83" s="563">
        <v>0</v>
      </c>
      <c r="N83" s="563">
        <v>0</v>
      </c>
      <c r="O83" s="563">
        <v>0</v>
      </c>
      <c r="P83" s="563">
        <f t="shared" si="42"/>
        <v>0</v>
      </c>
      <c r="Q83" s="563">
        <v>0</v>
      </c>
      <c r="R83" s="564">
        <v>0</v>
      </c>
      <c r="S83" s="563">
        <v>0</v>
      </c>
    </row>
    <row r="84" spans="1:19" ht="13.5" customHeight="1">
      <c r="A84" s="561"/>
      <c r="B84" s="561"/>
      <c r="C84" s="562" t="s">
        <v>315</v>
      </c>
      <c r="D84" s="563">
        <v>190200</v>
      </c>
      <c r="E84" s="563">
        <f t="shared" si="38"/>
        <v>183359.98</v>
      </c>
      <c r="F84" s="563">
        <f t="shared" si="39"/>
        <v>96.40377497371189</v>
      </c>
      <c r="G84" s="563">
        <f t="shared" si="40"/>
        <v>183359.98</v>
      </c>
      <c r="H84" s="563">
        <f t="shared" si="41"/>
        <v>183359.98</v>
      </c>
      <c r="I84" s="563">
        <v>0</v>
      </c>
      <c r="J84" s="563">
        <v>183359.98</v>
      </c>
      <c r="K84" s="563">
        <v>0</v>
      </c>
      <c r="L84" s="563">
        <v>0</v>
      </c>
      <c r="M84" s="563">
        <v>0</v>
      </c>
      <c r="N84" s="563">
        <v>0</v>
      </c>
      <c r="O84" s="563">
        <v>0</v>
      </c>
      <c r="P84" s="563">
        <f t="shared" si="42"/>
        <v>0</v>
      </c>
      <c r="Q84" s="563">
        <v>0</v>
      </c>
      <c r="R84" s="564">
        <v>0</v>
      </c>
      <c r="S84" s="563">
        <v>0</v>
      </c>
    </row>
    <row r="85" spans="1:19" ht="13.5" customHeight="1">
      <c r="A85" s="561"/>
      <c r="B85" s="561"/>
      <c r="C85" s="562" t="s">
        <v>124</v>
      </c>
      <c r="D85" s="563">
        <v>18000</v>
      </c>
      <c r="E85" s="563">
        <f t="shared" si="38"/>
        <v>12879.95</v>
      </c>
      <c r="F85" s="563">
        <f t="shared" si="39"/>
        <v>71.55527777777777</v>
      </c>
      <c r="G85" s="563">
        <f t="shared" si="40"/>
        <v>12879.95</v>
      </c>
      <c r="H85" s="563">
        <f t="shared" si="41"/>
        <v>12879.95</v>
      </c>
      <c r="I85" s="563">
        <v>0</v>
      </c>
      <c r="J85" s="563">
        <v>12879.95</v>
      </c>
      <c r="K85" s="563">
        <v>0</v>
      </c>
      <c r="L85" s="563">
        <v>0</v>
      </c>
      <c r="M85" s="563">
        <v>0</v>
      </c>
      <c r="N85" s="563">
        <v>0</v>
      </c>
      <c r="O85" s="563">
        <v>0</v>
      </c>
      <c r="P85" s="563">
        <f t="shared" si="42"/>
        <v>0</v>
      </c>
      <c r="Q85" s="563">
        <v>0</v>
      </c>
      <c r="R85" s="564">
        <v>0</v>
      </c>
      <c r="S85" s="563">
        <v>0</v>
      </c>
    </row>
    <row r="86" spans="1:19" ht="13.5" customHeight="1">
      <c r="A86" s="561"/>
      <c r="B86" s="561"/>
      <c r="C86" s="562" t="s">
        <v>306</v>
      </c>
      <c r="D86" s="563">
        <v>6200</v>
      </c>
      <c r="E86" s="563">
        <f t="shared" si="38"/>
        <v>5738</v>
      </c>
      <c r="F86" s="563">
        <f t="shared" si="39"/>
        <v>92.54838709677419</v>
      </c>
      <c r="G86" s="563">
        <f t="shared" si="40"/>
        <v>5738</v>
      </c>
      <c r="H86" s="563">
        <f t="shared" si="41"/>
        <v>5738</v>
      </c>
      <c r="I86" s="563">
        <v>0</v>
      </c>
      <c r="J86" s="563">
        <v>5738</v>
      </c>
      <c r="K86" s="563">
        <v>0</v>
      </c>
      <c r="L86" s="563">
        <v>0</v>
      </c>
      <c r="M86" s="563">
        <v>0</v>
      </c>
      <c r="N86" s="563">
        <v>0</v>
      </c>
      <c r="O86" s="563">
        <v>0</v>
      </c>
      <c r="P86" s="563">
        <f t="shared" si="42"/>
        <v>0</v>
      </c>
      <c r="Q86" s="563">
        <v>0</v>
      </c>
      <c r="R86" s="564">
        <v>0</v>
      </c>
      <c r="S86" s="563">
        <v>0</v>
      </c>
    </row>
    <row r="87" spans="1:19" ht="13.5" customHeight="1">
      <c r="A87" s="561"/>
      <c r="B87" s="561"/>
      <c r="C87" s="562" t="s">
        <v>125</v>
      </c>
      <c r="D87" s="563">
        <v>426752</v>
      </c>
      <c r="E87" s="563">
        <f aca="true" t="shared" si="43" ref="E87:E92">G87+P87</f>
        <v>403854.99</v>
      </c>
      <c r="F87" s="563">
        <f aca="true" t="shared" si="44" ref="F87:F92">E87/D87*100</f>
        <v>94.6345863639772</v>
      </c>
      <c r="G87" s="563">
        <f aca="true" t="shared" si="45" ref="G87:G92">H87+K87+L87+M87+N87+O87</f>
        <v>403854.99</v>
      </c>
      <c r="H87" s="563">
        <f aca="true" t="shared" si="46" ref="H87:H92">SUM(I87:J87)</f>
        <v>403854.99</v>
      </c>
      <c r="I87" s="563">
        <v>0</v>
      </c>
      <c r="J87" s="563">
        <f>343455.95+60399.04</f>
        <v>403854.99</v>
      </c>
      <c r="K87" s="563">
        <v>0</v>
      </c>
      <c r="L87" s="563">
        <v>0</v>
      </c>
      <c r="M87" s="563">
        <v>0</v>
      </c>
      <c r="N87" s="563">
        <v>0</v>
      </c>
      <c r="O87" s="563">
        <v>0</v>
      </c>
      <c r="P87" s="563">
        <f aca="true" t="shared" si="47" ref="P87:P92">Q87+S87</f>
        <v>0</v>
      </c>
      <c r="Q87" s="563">
        <v>0</v>
      </c>
      <c r="R87" s="564">
        <v>0</v>
      </c>
      <c r="S87" s="563">
        <v>0</v>
      </c>
    </row>
    <row r="88" spans="1:19" ht="13.5" customHeight="1">
      <c r="A88" s="561"/>
      <c r="B88" s="561"/>
      <c r="C88" s="562" t="s">
        <v>300</v>
      </c>
      <c r="D88" s="563">
        <v>79000</v>
      </c>
      <c r="E88" s="563">
        <f t="shared" si="43"/>
        <v>77767.21</v>
      </c>
      <c r="F88" s="563">
        <f t="shared" si="44"/>
        <v>98.43950632911394</v>
      </c>
      <c r="G88" s="563">
        <f t="shared" si="45"/>
        <v>77767.21</v>
      </c>
      <c r="H88" s="563">
        <f t="shared" si="46"/>
        <v>77767.21</v>
      </c>
      <c r="I88" s="563">
        <v>0</v>
      </c>
      <c r="J88" s="563">
        <v>77767.21</v>
      </c>
      <c r="K88" s="563">
        <v>0</v>
      </c>
      <c r="L88" s="563">
        <v>0</v>
      </c>
      <c r="M88" s="563">
        <v>0</v>
      </c>
      <c r="N88" s="563">
        <v>0</v>
      </c>
      <c r="O88" s="563">
        <v>0</v>
      </c>
      <c r="P88" s="563">
        <f t="shared" si="47"/>
        <v>0</v>
      </c>
      <c r="Q88" s="563">
        <v>0</v>
      </c>
      <c r="R88" s="564">
        <v>0</v>
      </c>
      <c r="S88" s="563">
        <v>0</v>
      </c>
    </row>
    <row r="89" spans="1:19" ht="13.5" customHeight="1">
      <c r="A89" s="561"/>
      <c r="B89" s="561"/>
      <c r="C89" s="562" t="s">
        <v>332</v>
      </c>
      <c r="D89" s="563">
        <v>4121</v>
      </c>
      <c r="E89" s="563">
        <f t="shared" si="43"/>
        <v>3292.28</v>
      </c>
      <c r="F89" s="563">
        <f t="shared" si="44"/>
        <v>79.89031788400874</v>
      </c>
      <c r="G89" s="563">
        <f t="shared" si="45"/>
        <v>3292.28</v>
      </c>
      <c r="H89" s="563">
        <f t="shared" si="46"/>
        <v>3292.28</v>
      </c>
      <c r="I89" s="563">
        <v>0</v>
      </c>
      <c r="J89" s="563">
        <v>3292.28</v>
      </c>
      <c r="K89" s="563">
        <v>0</v>
      </c>
      <c r="L89" s="563">
        <v>0</v>
      </c>
      <c r="M89" s="563">
        <v>0</v>
      </c>
      <c r="N89" s="563">
        <v>0</v>
      </c>
      <c r="O89" s="563">
        <v>0</v>
      </c>
      <c r="P89" s="563">
        <f t="shared" si="47"/>
        <v>0</v>
      </c>
      <c r="Q89" s="563">
        <v>0</v>
      </c>
      <c r="R89" s="564">
        <v>0</v>
      </c>
      <c r="S89" s="563">
        <v>0</v>
      </c>
    </row>
    <row r="90" spans="1:19" ht="13.5" customHeight="1">
      <c r="A90" s="561"/>
      <c r="B90" s="561"/>
      <c r="C90" s="562" t="s">
        <v>301</v>
      </c>
      <c r="D90" s="563">
        <v>9500</v>
      </c>
      <c r="E90" s="563">
        <f t="shared" si="43"/>
        <v>4298</v>
      </c>
      <c r="F90" s="563">
        <f t="shared" si="44"/>
        <v>45.242105263157896</v>
      </c>
      <c r="G90" s="563">
        <f t="shared" si="45"/>
        <v>4298</v>
      </c>
      <c r="H90" s="563">
        <f t="shared" si="46"/>
        <v>4298</v>
      </c>
      <c r="I90" s="563">
        <v>0</v>
      </c>
      <c r="J90" s="563">
        <v>4298</v>
      </c>
      <c r="K90" s="563">
        <v>0</v>
      </c>
      <c r="L90" s="563">
        <v>0</v>
      </c>
      <c r="M90" s="563">
        <v>0</v>
      </c>
      <c r="N90" s="563">
        <v>0</v>
      </c>
      <c r="O90" s="563">
        <v>0</v>
      </c>
      <c r="P90" s="563">
        <f t="shared" si="47"/>
        <v>0</v>
      </c>
      <c r="Q90" s="563">
        <v>0</v>
      </c>
      <c r="R90" s="564">
        <v>0</v>
      </c>
      <c r="S90" s="563">
        <v>0</v>
      </c>
    </row>
    <row r="91" spans="1:19" ht="13.5" customHeight="1">
      <c r="A91" s="561"/>
      <c r="B91" s="561"/>
      <c r="C91" s="562" t="s">
        <v>302</v>
      </c>
      <c r="D91" s="563">
        <v>50000</v>
      </c>
      <c r="E91" s="563">
        <f t="shared" si="43"/>
        <v>43263.44</v>
      </c>
      <c r="F91" s="563">
        <f t="shared" si="44"/>
        <v>86.52688</v>
      </c>
      <c r="G91" s="563">
        <f t="shared" si="45"/>
        <v>43263.44</v>
      </c>
      <c r="H91" s="563">
        <f t="shared" si="46"/>
        <v>43263.44</v>
      </c>
      <c r="I91" s="563">
        <v>0</v>
      </c>
      <c r="J91" s="563">
        <v>43263.44</v>
      </c>
      <c r="K91" s="563">
        <v>0</v>
      </c>
      <c r="L91" s="563">
        <v>0</v>
      </c>
      <c r="M91" s="563">
        <v>0</v>
      </c>
      <c r="N91" s="563">
        <v>0</v>
      </c>
      <c r="O91" s="563">
        <v>0</v>
      </c>
      <c r="P91" s="563">
        <f t="shared" si="47"/>
        <v>0</v>
      </c>
      <c r="Q91" s="563">
        <v>0</v>
      </c>
      <c r="R91" s="564">
        <v>0</v>
      </c>
      <c r="S91" s="563">
        <v>0</v>
      </c>
    </row>
    <row r="92" spans="1:19" ht="13.5" customHeight="1">
      <c r="A92" s="561"/>
      <c r="B92" s="561"/>
      <c r="C92" s="562" t="s">
        <v>316</v>
      </c>
      <c r="D92" s="563">
        <v>1000</v>
      </c>
      <c r="E92" s="563">
        <f t="shared" si="43"/>
        <v>265.55</v>
      </c>
      <c r="F92" s="563">
        <f t="shared" si="44"/>
        <v>26.555</v>
      </c>
      <c r="G92" s="563">
        <f t="shared" si="45"/>
        <v>265.55</v>
      </c>
      <c r="H92" s="563">
        <f t="shared" si="46"/>
        <v>265.55</v>
      </c>
      <c r="I92" s="563">
        <v>0</v>
      </c>
      <c r="J92" s="563">
        <v>265.55</v>
      </c>
      <c r="K92" s="563">
        <v>0</v>
      </c>
      <c r="L92" s="563">
        <v>0</v>
      </c>
      <c r="M92" s="563">
        <v>0</v>
      </c>
      <c r="N92" s="563">
        <v>0</v>
      </c>
      <c r="O92" s="563">
        <v>0</v>
      </c>
      <c r="P92" s="563">
        <f t="shared" si="47"/>
        <v>0</v>
      </c>
      <c r="Q92" s="563">
        <v>0</v>
      </c>
      <c r="R92" s="564">
        <v>0</v>
      </c>
      <c r="S92" s="563">
        <v>0</v>
      </c>
    </row>
    <row r="93" spans="1:19" ht="13.5" customHeight="1">
      <c r="A93" s="561"/>
      <c r="B93" s="561"/>
      <c r="C93" s="562" t="s">
        <v>303</v>
      </c>
      <c r="D93" s="563">
        <v>44279</v>
      </c>
      <c r="E93" s="563">
        <f aca="true" t="shared" si="48" ref="E93:E101">G93+P93</f>
        <v>38801</v>
      </c>
      <c r="F93" s="563">
        <f aca="true" t="shared" si="49" ref="F93:F101">E93/D93*100</f>
        <v>87.62844689356129</v>
      </c>
      <c r="G93" s="563">
        <f aca="true" t="shared" si="50" ref="G93:G101">H93+K93+L93+M93+N93+O93</f>
        <v>38801</v>
      </c>
      <c r="H93" s="563">
        <f aca="true" t="shared" si="51" ref="H93:H101">SUM(I93:J93)</f>
        <v>38801</v>
      </c>
      <c r="I93" s="563">
        <v>0</v>
      </c>
      <c r="J93" s="563">
        <v>38801</v>
      </c>
      <c r="K93" s="563">
        <v>0</v>
      </c>
      <c r="L93" s="563">
        <v>0</v>
      </c>
      <c r="M93" s="563">
        <v>0</v>
      </c>
      <c r="N93" s="563">
        <v>0</v>
      </c>
      <c r="O93" s="563">
        <v>0</v>
      </c>
      <c r="P93" s="563">
        <f aca="true" t="shared" si="52" ref="P93:P101">Q93+S93</f>
        <v>0</v>
      </c>
      <c r="Q93" s="563">
        <v>0</v>
      </c>
      <c r="R93" s="564">
        <v>0</v>
      </c>
      <c r="S93" s="563">
        <v>0</v>
      </c>
    </row>
    <row r="94" spans="1:19" ht="13.5" customHeight="1">
      <c r="A94" s="561"/>
      <c r="B94" s="561"/>
      <c r="C94" s="562" t="s">
        <v>304</v>
      </c>
      <c r="D94" s="563">
        <v>115000</v>
      </c>
      <c r="E94" s="563">
        <f t="shared" si="48"/>
        <v>114095.04</v>
      </c>
      <c r="F94" s="563">
        <f t="shared" si="49"/>
        <v>99.21307826086957</v>
      </c>
      <c r="G94" s="563">
        <f t="shared" si="50"/>
        <v>114095.04</v>
      </c>
      <c r="H94" s="563">
        <f t="shared" si="51"/>
        <v>114095.04</v>
      </c>
      <c r="I94" s="563">
        <v>0</v>
      </c>
      <c r="J94" s="563">
        <v>114095.04</v>
      </c>
      <c r="K94" s="563">
        <v>0</v>
      </c>
      <c r="L94" s="563">
        <v>0</v>
      </c>
      <c r="M94" s="563">
        <v>0</v>
      </c>
      <c r="N94" s="563">
        <v>0</v>
      </c>
      <c r="O94" s="563">
        <v>0</v>
      </c>
      <c r="P94" s="563">
        <f t="shared" si="52"/>
        <v>0</v>
      </c>
      <c r="Q94" s="563">
        <v>0</v>
      </c>
      <c r="R94" s="564">
        <v>0</v>
      </c>
      <c r="S94" s="563">
        <v>0</v>
      </c>
    </row>
    <row r="95" spans="1:19" ht="13.5" customHeight="1">
      <c r="A95" s="561"/>
      <c r="B95" s="561"/>
      <c r="C95" s="562" t="s">
        <v>319</v>
      </c>
      <c r="D95" s="563">
        <v>3000</v>
      </c>
      <c r="E95" s="563">
        <f>G95+P95</f>
        <v>2986</v>
      </c>
      <c r="F95" s="563">
        <f>E95/D95*100</f>
        <v>99.53333333333333</v>
      </c>
      <c r="G95" s="563">
        <f>H95+K95+L95+M95+N95+O95</f>
        <v>2986</v>
      </c>
      <c r="H95" s="563">
        <f>SUM(I95:J95)</f>
        <v>2986</v>
      </c>
      <c r="I95" s="563">
        <v>0</v>
      </c>
      <c r="J95" s="563">
        <v>2986</v>
      </c>
      <c r="K95" s="563">
        <v>0</v>
      </c>
      <c r="L95" s="563">
        <v>0</v>
      </c>
      <c r="M95" s="563">
        <v>0</v>
      </c>
      <c r="N95" s="563">
        <v>0</v>
      </c>
      <c r="O95" s="563">
        <v>0</v>
      </c>
      <c r="P95" s="563">
        <f>Q95+S95</f>
        <v>0</v>
      </c>
      <c r="Q95" s="563">
        <v>0</v>
      </c>
      <c r="R95" s="564">
        <v>0</v>
      </c>
      <c r="S95" s="563">
        <v>0</v>
      </c>
    </row>
    <row r="96" spans="1:19" ht="13.5" customHeight="1">
      <c r="A96" s="561"/>
      <c r="B96" s="561"/>
      <c r="C96" s="562" t="s">
        <v>616</v>
      </c>
      <c r="D96" s="563">
        <v>5452</v>
      </c>
      <c r="E96" s="563">
        <f>G96+P96</f>
        <v>5451.95</v>
      </c>
      <c r="F96" s="563">
        <f>E96/D96*100</f>
        <v>99.99908290535583</v>
      </c>
      <c r="G96" s="563">
        <f>H96+K96+L96+M96+N96+O96</f>
        <v>5451.95</v>
      </c>
      <c r="H96" s="563">
        <f>SUM(I96:J96)</f>
        <v>5451.95</v>
      </c>
      <c r="I96" s="563">
        <v>0</v>
      </c>
      <c r="J96" s="563">
        <v>5451.95</v>
      </c>
      <c r="K96" s="563">
        <v>0</v>
      </c>
      <c r="L96" s="563">
        <v>0</v>
      </c>
      <c r="M96" s="563">
        <v>0</v>
      </c>
      <c r="N96" s="563">
        <v>0</v>
      </c>
      <c r="O96" s="563">
        <v>0</v>
      </c>
      <c r="P96" s="563">
        <f>Q96+S96</f>
        <v>0</v>
      </c>
      <c r="Q96" s="563">
        <v>0</v>
      </c>
      <c r="R96" s="564">
        <v>0</v>
      </c>
      <c r="S96" s="563">
        <v>0</v>
      </c>
    </row>
    <row r="97" spans="1:19" ht="13.5" customHeight="1">
      <c r="A97" s="561"/>
      <c r="B97" s="561"/>
      <c r="C97" s="562" t="s">
        <v>374</v>
      </c>
      <c r="D97" s="563">
        <v>2545</v>
      </c>
      <c r="E97" s="563">
        <f t="shared" si="48"/>
        <v>1275</v>
      </c>
      <c r="F97" s="563">
        <f t="shared" si="49"/>
        <v>50.09823182711198</v>
      </c>
      <c r="G97" s="563">
        <f t="shared" si="50"/>
        <v>1275</v>
      </c>
      <c r="H97" s="563">
        <f t="shared" si="51"/>
        <v>1275</v>
      </c>
      <c r="I97" s="563">
        <v>0</v>
      </c>
      <c r="J97" s="563">
        <v>1275</v>
      </c>
      <c r="K97" s="563">
        <v>0</v>
      </c>
      <c r="L97" s="563">
        <v>0</v>
      </c>
      <c r="M97" s="563">
        <v>0</v>
      </c>
      <c r="N97" s="563">
        <v>0</v>
      </c>
      <c r="O97" s="563">
        <v>0</v>
      </c>
      <c r="P97" s="563">
        <f t="shared" si="52"/>
        <v>0</v>
      </c>
      <c r="Q97" s="563">
        <v>0</v>
      </c>
      <c r="R97" s="564">
        <v>0</v>
      </c>
      <c r="S97" s="563">
        <v>0</v>
      </c>
    </row>
    <row r="98" spans="1:19" ht="13.5" customHeight="1">
      <c r="A98" s="561"/>
      <c r="B98" s="561"/>
      <c r="C98" s="562" t="s">
        <v>333</v>
      </c>
      <c r="D98" s="563">
        <v>17485</v>
      </c>
      <c r="E98" s="563">
        <f t="shared" si="48"/>
        <v>1887</v>
      </c>
      <c r="F98" s="563">
        <f t="shared" si="49"/>
        <v>10.792107520732056</v>
      </c>
      <c r="G98" s="563">
        <f t="shared" si="50"/>
        <v>1887</v>
      </c>
      <c r="H98" s="563">
        <f t="shared" si="51"/>
        <v>1887</v>
      </c>
      <c r="I98" s="563">
        <v>0</v>
      </c>
      <c r="J98" s="563">
        <v>1887</v>
      </c>
      <c r="K98" s="563">
        <v>0</v>
      </c>
      <c r="L98" s="563">
        <v>0</v>
      </c>
      <c r="M98" s="563">
        <v>0</v>
      </c>
      <c r="N98" s="563">
        <v>0</v>
      </c>
      <c r="O98" s="563">
        <v>0</v>
      </c>
      <c r="P98" s="563">
        <f t="shared" si="52"/>
        <v>0</v>
      </c>
      <c r="Q98" s="563">
        <v>0</v>
      </c>
      <c r="R98" s="564">
        <v>0</v>
      </c>
      <c r="S98" s="563">
        <v>0</v>
      </c>
    </row>
    <row r="99" spans="1:19" ht="13.5" customHeight="1">
      <c r="A99" s="561"/>
      <c r="B99" s="561"/>
      <c r="C99" s="562" t="s">
        <v>145</v>
      </c>
      <c r="D99" s="563">
        <v>16100</v>
      </c>
      <c r="E99" s="563">
        <f t="shared" si="48"/>
        <v>16045.76</v>
      </c>
      <c r="F99" s="563">
        <f t="shared" si="49"/>
        <v>99.66310559006212</v>
      </c>
      <c r="G99" s="563">
        <f t="shared" si="50"/>
        <v>16045.76</v>
      </c>
      <c r="H99" s="563">
        <f t="shared" si="51"/>
        <v>16045.76</v>
      </c>
      <c r="I99" s="563">
        <v>0</v>
      </c>
      <c r="J99" s="563">
        <v>16045.76</v>
      </c>
      <c r="K99" s="563">
        <v>0</v>
      </c>
      <c r="L99" s="563">
        <v>0</v>
      </c>
      <c r="M99" s="563">
        <v>0</v>
      </c>
      <c r="N99" s="563">
        <v>0</v>
      </c>
      <c r="O99" s="563">
        <v>0</v>
      </c>
      <c r="P99" s="563">
        <f t="shared" si="52"/>
        <v>0</v>
      </c>
      <c r="Q99" s="563">
        <v>0</v>
      </c>
      <c r="R99" s="564">
        <v>0</v>
      </c>
      <c r="S99" s="563">
        <v>0</v>
      </c>
    </row>
    <row r="100" spans="1:19" ht="13.5" customHeight="1">
      <c r="A100" s="561"/>
      <c r="B100" s="561"/>
      <c r="C100" s="562" t="s">
        <v>320</v>
      </c>
      <c r="D100" s="563">
        <v>52400</v>
      </c>
      <c r="E100" s="563">
        <f>G100+P100</f>
        <v>52398</v>
      </c>
      <c r="F100" s="563">
        <f>E100/D100*100</f>
        <v>99.99618320610686</v>
      </c>
      <c r="G100" s="563">
        <f>H100+K100+L100+M100+N100+O100</f>
        <v>0</v>
      </c>
      <c r="H100" s="563">
        <f>SUM(I100:J100)</f>
        <v>0</v>
      </c>
      <c r="I100" s="563">
        <v>0</v>
      </c>
      <c r="J100" s="563">
        <v>0</v>
      </c>
      <c r="K100" s="563">
        <v>0</v>
      </c>
      <c r="L100" s="563">
        <v>0</v>
      </c>
      <c r="M100" s="563">
        <v>0</v>
      </c>
      <c r="N100" s="563">
        <v>0</v>
      </c>
      <c r="O100" s="563">
        <v>0</v>
      </c>
      <c r="P100" s="563">
        <f>Q100+S100</f>
        <v>52398</v>
      </c>
      <c r="Q100" s="563">
        <v>52398</v>
      </c>
      <c r="R100" s="564">
        <v>0</v>
      </c>
      <c r="S100" s="563">
        <v>0</v>
      </c>
    </row>
    <row r="101" spans="1:19" ht="13.5" customHeight="1">
      <c r="A101" s="561"/>
      <c r="B101" s="561"/>
      <c r="C101" s="562" t="s">
        <v>326</v>
      </c>
      <c r="D101" s="563">
        <v>15380</v>
      </c>
      <c r="E101" s="563">
        <f t="shared" si="48"/>
        <v>15379.1</v>
      </c>
      <c r="F101" s="563">
        <f t="shared" si="49"/>
        <v>99.99414824447335</v>
      </c>
      <c r="G101" s="563">
        <f t="shared" si="50"/>
        <v>0</v>
      </c>
      <c r="H101" s="563">
        <f t="shared" si="51"/>
        <v>0</v>
      </c>
      <c r="I101" s="563">
        <v>0</v>
      </c>
      <c r="J101" s="563">
        <v>0</v>
      </c>
      <c r="K101" s="563">
        <v>0</v>
      </c>
      <c r="L101" s="563">
        <v>0</v>
      </c>
      <c r="M101" s="563">
        <v>0</v>
      </c>
      <c r="N101" s="563">
        <v>0</v>
      </c>
      <c r="O101" s="563">
        <v>0</v>
      </c>
      <c r="P101" s="563">
        <f t="shared" si="52"/>
        <v>15379.1</v>
      </c>
      <c r="Q101" s="563">
        <v>15379.1</v>
      </c>
      <c r="R101" s="564">
        <v>0</v>
      </c>
      <c r="S101" s="563">
        <v>0</v>
      </c>
    </row>
    <row r="102" spans="1:19" ht="13.5" customHeight="1">
      <c r="A102" s="561"/>
      <c r="B102" s="554" t="s">
        <v>38</v>
      </c>
      <c r="C102" s="554"/>
      <c r="D102" s="560">
        <f>SUM(D103:D106)</f>
        <v>7598</v>
      </c>
      <c r="E102" s="560">
        <f>SUM(E103:E106)</f>
        <v>7597.7300000000005</v>
      </c>
      <c r="F102" s="560">
        <f aca="true" t="shared" si="53" ref="F102:F107">E102/D102*100</f>
        <v>99.99644643327193</v>
      </c>
      <c r="G102" s="560">
        <f aca="true" t="shared" si="54" ref="G102:S102">SUM(G103:G106)</f>
        <v>7597.7300000000005</v>
      </c>
      <c r="H102" s="560">
        <f t="shared" si="54"/>
        <v>7597.7300000000005</v>
      </c>
      <c r="I102" s="560">
        <f t="shared" si="54"/>
        <v>6679.83</v>
      </c>
      <c r="J102" s="560">
        <f t="shared" si="54"/>
        <v>917.9000000000001</v>
      </c>
      <c r="K102" s="560">
        <f t="shared" si="54"/>
        <v>0</v>
      </c>
      <c r="L102" s="560">
        <f t="shared" si="54"/>
        <v>0</v>
      </c>
      <c r="M102" s="560">
        <f t="shared" si="54"/>
        <v>0</v>
      </c>
      <c r="N102" s="560">
        <f t="shared" si="54"/>
        <v>0</v>
      </c>
      <c r="O102" s="560">
        <f t="shared" si="54"/>
        <v>0</v>
      </c>
      <c r="P102" s="560">
        <f t="shared" si="54"/>
        <v>0</v>
      </c>
      <c r="Q102" s="560">
        <f t="shared" si="54"/>
        <v>0</v>
      </c>
      <c r="R102" s="560">
        <f t="shared" si="54"/>
        <v>0</v>
      </c>
      <c r="S102" s="560">
        <f t="shared" si="54"/>
        <v>0</v>
      </c>
    </row>
    <row r="103" spans="1:19" ht="13.5" customHeight="1">
      <c r="A103" s="561"/>
      <c r="B103" s="561"/>
      <c r="C103" s="562" t="s">
        <v>297</v>
      </c>
      <c r="D103" s="563">
        <v>980</v>
      </c>
      <c r="E103" s="563">
        <f>G103+P103</f>
        <v>979.83</v>
      </c>
      <c r="F103" s="563">
        <f t="shared" si="53"/>
        <v>99.9826530612245</v>
      </c>
      <c r="G103" s="563">
        <f>H103+K103+L103+M103+N103+O103</f>
        <v>979.83</v>
      </c>
      <c r="H103" s="563">
        <f>SUM(I103:J103)</f>
        <v>979.83</v>
      </c>
      <c r="I103" s="563">
        <v>979.83</v>
      </c>
      <c r="J103" s="563">
        <v>0</v>
      </c>
      <c r="K103" s="563">
        <v>0</v>
      </c>
      <c r="L103" s="563">
        <v>0</v>
      </c>
      <c r="M103" s="563">
        <v>0</v>
      </c>
      <c r="N103" s="563">
        <v>0</v>
      </c>
      <c r="O103" s="563">
        <v>0</v>
      </c>
      <c r="P103" s="563">
        <f>Q103+S103</f>
        <v>0</v>
      </c>
      <c r="Q103" s="563">
        <v>0</v>
      </c>
      <c r="R103" s="564">
        <v>0</v>
      </c>
      <c r="S103" s="563">
        <v>0</v>
      </c>
    </row>
    <row r="104" spans="1:19" ht="13.5" customHeight="1">
      <c r="A104" s="561"/>
      <c r="B104" s="561"/>
      <c r="C104" s="562" t="s">
        <v>305</v>
      </c>
      <c r="D104" s="563">
        <v>5700</v>
      </c>
      <c r="E104" s="563">
        <f>G104+P104</f>
        <v>5700</v>
      </c>
      <c r="F104" s="563">
        <f>E104/D104*100</f>
        <v>100</v>
      </c>
      <c r="G104" s="563">
        <f>H104+K104+L104+M104+N104+O104</f>
        <v>5700</v>
      </c>
      <c r="H104" s="563">
        <f>SUM(I104:J104)</f>
        <v>5700</v>
      </c>
      <c r="I104" s="563">
        <v>5700</v>
      </c>
      <c r="J104" s="563">
        <v>0</v>
      </c>
      <c r="K104" s="563">
        <v>0</v>
      </c>
      <c r="L104" s="563">
        <v>0</v>
      </c>
      <c r="M104" s="563">
        <v>0</v>
      </c>
      <c r="N104" s="563">
        <v>0</v>
      </c>
      <c r="O104" s="563">
        <v>0</v>
      </c>
      <c r="P104" s="563">
        <f>Q104+S104</f>
        <v>0</v>
      </c>
      <c r="Q104" s="563">
        <v>0</v>
      </c>
      <c r="R104" s="564">
        <v>0</v>
      </c>
      <c r="S104" s="563">
        <v>0</v>
      </c>
    </row>
    <row r="105" spans="1:19" ht="13.5" customHeight="1">
      <c r="A105" s="561"/>
      <c r="B105" s="561"/>
      <c r="C105" s="562" t="s">
        <v>123</v>
      </c>
      <c r="D105" s="563">
        <v>381</v>
      </c>
      <c r="E105" s="563">
        <f>G105+P105</f>
        <v>381.3</v>
      </c>
      <c r="F105" s="563">
        <f>E105/D105*100</f>
        <v>100.07874015748033</v>
      </c>
      <c r="G105" s="563">
        <f>H105+K105+L105+M105+N105+O105</f>
        <v>381.3</v>
      </c>
      <c r="H105" s="563">
        <f>SUM(I105:J105)</f>
        <v>381.3</v>
      </c>
      <c r="I105" s="563">
        <v>0</v>
      </c>
      <c r="J105" s="563">
        <v>381.3</v>
      </c>
      <c r="K105" s="563">
        <v>0</v>
      </c>
      <c r="L105" s="563">
        <v>0</v>
      </c>
      <c r="M105" s="563">
        <v>0</v>
      </c>
      <c r="N105" s="563">
        <v>0</v>
      </c>
      <c r="O105" s="563">
        <v>0</v>
      </c>
      <c r="P105" s="563">
        <f>Q105+S105</f>
        <v>0</v>
      </c>
      <c r="Q105" s="563">
        <v>0</v>
      </c>
      <c r="R105" s="564">
        <v>0</v>
      </c>
      <c r="S105" s="563">
        <v>0</v>
      </c>
    </row>
    <row r="106" spans="1:19" ht="13.5" customHeight="1">
      <c r="A106" s="561"/>
      <c r="B106" s="561"/>
      <c r="C106" s="562" t="s">
        <v>125</v>
      </c>
      <c r="D106" s="563">
        <v>537</v>
      </c>
      <c r="E106" s="563">
        <f>G106+P106</f>
        <v>536.6</v>
      </c>
      <c r="F106" s="563">
        <f>E106/D106*100</f>
        <v>99.92551210428306</v>
      </c>
      <c r="G106" s="563">
        <f>H106+K106+L106+M106+N106+O106</f>
        <v>536.6</v>
      </c>
      <c r="H106" s="563">
        <f>SUM(I106:J106)</f>
        <v>536.6</v>
      </c>
      <c r="I106" s="563">
        <v>0</v>
      </c>
      <c r="J106" s="563">
        <v>536.6</v>
      </c>
      <c r="K106" s="563">
        <v>0</v>
      </c>
      <c r="L106" s="563">
        <v>0</v>
      </c>
      <c r="M106" s="563">
        <v>0</v>
      </c>
      <c r="N106" s="563">
        <v>0</v>
      </c>
      <c r="O106" s="563">
        <v>0</v>
      </c>
      <c r="P106" s="563">
        <f>Q106+S106</f>
        <v>0</v>
      </c>
      <c r="Q106" s="563">
        <v>0</v>
      </c>
      <c r="R106" s="564">
        <v>0</v>
      </c>
      <c r="S106" s="563">
        <v>0</v>
      </c>
    </row>
    <row r="107" spans="1:19" ht="13.5" customHeight="1">
      <c r="A107" s="561"/>
      <c r="B107" s="554" t="s">
        <v>138</v>
      </c>
      <c r="C107" s="554"/>
      <c r="D107" s="560">
        <f>SUM(D108:D111)</f>
        <v>117434</v>
      </c>
      <c r="E107" s="560">
        <f>SUM(E108:E111)</f>
        <v>114251.23000000001</v>
      </c>
      <c r="F107" s="560">
        <f t="shared" si="53"/>
        <v>97.28973721409473</v>
      </c>
      <c r="G107" s="560">
        <f aca="true" t="shared" si="55" ref="G107:S107">SUM(G108:G111)</f>
        <v>114251.23000000001</v>
      </c>
      <c r="H107" s="560">
        <f t="shared" si="55"/>
        <v>114251.23000000001</v>
      </c>
      <c r="I107" s="560">
        <f t="shared" si="55"/>
        <v>22720.87</v>
      </c>
      <c r="J107" s="560">
        <f t="shared" si="55"/>
        <v>91530.36</v>
      </c>
      <c r="K107" s="560">
        <f t="shared" si="55"/>
        <v>0</v>
      </c>
      <c r="L107" s="560">
        <f t="shared" si="55"/>
        <v>0</v>
      </c>
      <c r="M107" s="560">
        <f t="shared" si="55"/>
        <v>0</v>
      </c>
      <c r="N107" s="560">
        <f t="shared" si="55"/>
        <v>0</v>
      </c>
      <c r="O107" s="560">
        <f t="shared" si="55"/>
        <v>0</v>
      </c>
      <c r="P107" s="560">
        <f t="shared" si="55"/>
        <v>0</v>
      </c>
      <c r="Q107" s="560">
        <f t="shared" si="55"/>
        <v>0</v>
      </c>
      <c r="R107" s="560">
        <f t="shared" si="55"/>
        <v>0</v>
      </c>
      <c r="S107" s="560">
        <f t="shared" si="55"/>
        <v>0</v>
      </c>
    </row>
    <row r="108" spans="1:19" ht="13.5" customHeight="1">
      <c r="A108" s="561"/>
      <c r="B108" s="561"/>
      <c r="C108" s="562" t="s">
        <v>305</v>
      </c>
      <c r="D108" s="563">
        <v>22730</v>
      </c>
      <c r="E108" s="563">
        <f>G108+P108</f>
        <v>22720.87</v>
      </c>
      <c r="F108" s="563">
        <f>E108/D108*100</f>
        <v>99.95983282006159</v>
      </c>
      <c r="G108" s="563">
        <f>H108+K108+L108+M108+N108+O108</f>
        <v>22720.87</v>
      </c>
      <c r="H108" s="563">
        <f>SUM(I108:J108)</f>
        <v>22720.87</v>
      </c>
      <c r="I108" s="563">
        <v>22720.87</v>
      </c>
      <c r="J108" s="563">
        <v>0</v>
      </c>
      <c r="K108" s="563">
        <v>0</v>
      </c>
      <c r="L108" s="563">
        <v>0</v>
      </c>
      <c r="M108" s="563">
        <v>0</v>
      </c>
      <c r="N108" s="563">
        <v>0</v>
      </c>
      <c r="O108" s="563">
        <v>0</v>
      </c>
      <c r="P108" s="563">
        <f>Q108+S108</f>
        <v>0</v>
      </c>
      <c r="Q108" s="563">
        <v>0</v>
      </c>
      <c r="R108" s="564">
        <v>0</v>
      </c>
      <c r="S108" s="563">
        <v>0</v>
      </c>
    </row>
    <row r="109" spans="1:19" ht="13.5" customHeight="1">
      <c r="A109" s="561"/>
      <c r="B109" s="561"/>
      <c r="C109" s="562" t="s">
        <v>123</v>
      </c>
      <c r="D109" s="563">
        <v>61454</v>
      </c>
      <c r="E109" s="563">
        <f>G109+P109</f>
        <v>58890.26</v>
      </c>
      <c r="F109" s="563">
        <f>E109/D109*100</f>
        <v>95.82819669997072</v>
      </c>
      <c r="G109" s="563">
        <f>H109+K109+L109+M109+N109+O109</f>
        <v>58890.26</v>
      </c>
      <c r="H109" s="563">
        <f>SUM(I109:J109)</f>
        <v>58890.26</v>
      </c>
      <c r="I109" s="563">
        <v>0</v>
      </c>
      <c r="J109" s="563">
        <v>58890.26</v>
      </c>
      <c r="K109" s="563">
        <v>0</v>
      </c>
      <c r="L109" s="563">
        <v>0</v>
      </c>
      <c r="M109" s="563">
        <v>0</v>
      </c>
      <c r="N109" s="563">
        <v>0</v>
      </c>
      <c r="O109" s="563">
        <v>0</v>
      </c>
      <c r="P109" s="563">
        <f>Q109+S109</f>
        <v>0</v>
      </c>
      <c r="Q109" s="563">
        <v>0</v>
      </c>
      <c r="R109" s="564">
        <v>0</v>
      </c>
      <c r="S109" s="563">
        <v>0</v>
      </c>
    </row>
    <row r="110" spans="1:19" ht="13.5" customHeight="1">
      <c r="A110" s="561"/>
      <c r="B110" s="561"/>
      <c r="C110" s="562" t="s">
        <v>125</v>
      </c>
      <c r="D110" s="563">
        <v>31950</v>
      </c>
      <c r="E110" s="563">
        <f>G110+P110</f>
        <v>31340.1</v>
      </c>
      <c r="F110" s="563">
        <f>E110/D110*100</f>
        <v>98.09107981220657</v>
      </c>
      <c r="G110" s="563">
        <f>H110+K110+L110+M110+N110+O110</f>
        <v>31340.1</v>
      </c>
      <c r="H110" s="563">
        <f>SUM(I110:J110)</f>
        <v>31340.1</v>
      </c>
      <c r="I110" s="563">
        <v>0</v>
      </c>
      <c r="J110" s="563">
        <v>31340.1</v>
      </c>
      <c r="K110" s="563">
        <v>0</v>
      </c>
      <c r="L110" s="563">
        <v>0</v>
      </c>
      <c r="M110" s="563">
        <v>0</v>
      </c>
      <c r="N110" s="563">
        <v>0</v>
      </c>
      <c r="O110" s="563">
        <v>0</v>
      </c>
      <c r="P110" s="563">
        <f>Q110+S110</f>
        <v>0</v>
      </c>
      <c r="Q110" s="563">
        <v>0</v>
      </c>
      <c r="R110" s="564">
        <v>0</v>
      </c>
      <c r="S110" s="563">
        <v>0</v>
      </c>
    </row>
    <row r="111" spans="1:19" ht="13.5" customHeight="1">
      <c r="A111" s="561"/>
      <c r="B111" s="561"/>
      <c r="C111" s="562" t="s">
        <v>332</v>
      </c>
      <c r="D111" s="563">
        <v>1300</v>
      </c>
      <c r="E111" s="563">
        <f>G111+P111</f>
        <v>1300</v>
      </c>
      <c r="F111" s="563">
        <f>E111/D111*100</f>
        <v>100</v>
      </c>
      <c r="G111" s="563">
        <f>H111+K111+L111+M111+N111+O111</f>
        <v>1300</v>
      </c>
      <c r="H111" s="563">
        <f>SUM(I111:J111)</f>
        <v>1300</v>
      </c>
      <c r="I111" s="563">
        <v>0</v>
      </c>
      <c r="J111" s="563">
        <v>1300</v>
      </c>
      <c r="K111" s="563">
        <v>0</v>
      </c>
      <c r="L111" s="563">
        <v>0</v>
      </c>
      <c r="M111" s="563">
        <v>0</v>
      </c>
      <c r="N111" s="563">
        <v>0</v>
      </c>
      <c r="O111" s="563">
        <v>0</v>
      </c>
      <c r="P111" s="563">
        <f>Q111+S111</f>
        <v>0</v>
      </c>
      <c r="Q111" s="563">
        <v>0</v>
      </c>
      <c r="R111" s="564">
        <v>0</v>
      </c>
      <c r="S111" s="563">
        <v>0</v>
      </c>
    </row>
    <row r="112" spans="1:19" ht="13.5" customHeight="1">
      <c r="A112" s="561"/>
      <c r="B112" s="554" t="s">
        <v>49</v>
      </c>
      <c r="C112" s="554"/>
      <c r="D112" s="560">
        <f>SUM(D113:D116)</f>
        <v>30130</v>
      </c>
      <c r="E112" s="560">
        <f>SUM(E113:E116)</f>
        <v>27600.940000000002</v>
      </c>
      <c r="F112" s="560">
        <f aca="true" t="shared" si="56" ref="F112:F117">E112/D112*100</f>
        <v>91.60617324925325</v>
      </c>
      <c r="G112" s="560">
        <f aca="true" t="shared" si="57" ref="G112:S112">SUM(G113:G116)</f>
        <v>27600.940000000002</v>
      </c>
      <c r="H112" s="560">
        <f t="shared" si="57"/>
        <v>27600.940000000002</v>
      </c>
      <c r="I112" s="560">
        <f t="shared" si="57"/>
        <v>300</v>
      </c>
      <c r="J112" s="560">
        <f t="shared" si="57"/>
        <v>27300.940000000002</v>
      </c>
      <c r="K112" s="560">
        <f t="shared" si="57"/>
        <v>0</v>
      </c>
      <c r="L112" s="560">
        <f t="shared" si="57"/>
        <v>0</v>
      </c>
      <c r="M112" s="560">
        <f t="shared" si="57"/>
        <v>0</v>
      </c>
      <c r="N112" s="560">
        <f t="shared" si="57"/>
        <v>0</v>
      </c>
      <c r="O112" s="560">
        <f t="shared" si="57"/>
        <v>0</v>
      </c>
      <c r="P112" s="560">
        <f t="shared" si="57"/>
        <v>0</v>
      </c>
      <c r="Q112" s="560">
        <f t="shared" si="57"/>
        <v>0</v>
      </c>
      <c r="R112" s="560">
        <f t="shared" si="57"/>
        <v>0</v>
      </c>
      <c r="S112" s="560">
        <f t="shared" si="57"/>
        <v>0</v>
      </c>
    </row>
    <row r="113" spans="1:19" ht="13.5" customHeight="1">
      <c r="A113" s="561"/>
      <c r="B113" s="561"/>
      <c r="C113" s="562" t="s">
        <v>339</v>
      </c>
      <c r="D113" s="563">
        <v>11430</v>
      </c>
      <c r="E113" s="563">
        <f>G113+P113</f>
        <v>11429.74</v>
      </c>
      <c r="F113" s="563">
        <f t="shared" si="56"/>
        <v>99.99772528433945</v>
      </c>
      <c r="G113" s="563">
        <f>H113+K113+L113+M113+N113+O113</f>
        <v>11429.74</v>
      </c>
      <c r="H113" s="563">
        <f>SUM(I113:J113)</f>
        <v>11429.74</v>
      </c>
      <c r="I113" s="563">
        <v>0</v>
      </c>
      <c r="J113" s="563">
        <v>11429.74</v>
      </c>
      <c r="K113" s="563">
        <v>0</v>
      </c>
      <c r="L113" s="563">
        <v>0</v>
      </c>
      <c r="M113" s="563">
        <v>0</v>
      </c>
      <c r="N113" s="563">
        <v>0</v>
      </c>
      <c r="O113" s="563">
        <v>0</v>
      </c>
      <c r="P113" s="563">
        <f>Q113+S113</f>
        <v>0</v>
      </c>
      <c r="Q113" s="563">
        <v>0</v>
      </c>
      <c r="R113" s="564">
        <v>0</v>
      </c>
      <c r="S113" s="563">
        <v>0</v>
      </c>
    </row>
    <row r="114" spans="1:19" ht="13.5" customHeight="1">
      <c r="A114" s="561"/>
      <c r="B114" s="561"/>
      <c r="C114" s="562" t="s">
        <v>305</v>
      </c>
      <c r="D114" s="563">
        <v>1800</v>
      </c>
      <c r="E114" s="563">
        <f>G114+P114</f>
        <v>300</v>
      </c>
      <c r="F114" s="563">
        <f t="shared" si="56"/>
        <v>16.666666666666664</v>
      </c>
      <c r="G114" s="563">
        <f>H114+K114+L114+M114+N114+O114</f>
        <v>300</v>
      </c>
      <c r="H114" s="563">
        <f>SUM(I114:J114)</f>
        <v>300</v>
      </c>
      <c r="I114" s="563">
        <v>300</v>
      </c>
      <c r="J114" s="563">
        <v>0</v>
      </c>
      <c r="K114" s="563">
        <v>0</v>
      </c>
      <c r="L114" s="563">
        <v>0</v>
      </c>
      <c r="M114" s="563">
        <v>0</v>
      </c>
      <c r="N114" s="563">
        <v>0</v>
      </c>
      <c r="O114" s="563">
        <v>0</v>
      </c>
      <c r="P114" s="563">
        <f>Q114+S114</f>
        <v>0</v>
      </c>
      <c r="Q114" s="563">
        <v>0</v>
      </c>
      <c r="R114" s="564">
        <v>0</v>
      </c>
      <c r="S114" s="563">
        <v>0</v>
      </c>
    </row>
    <row r="115" spans="1:19" ht="13.5" customHeight="1">
      <c r="A115" s="561"/>
      <c r="B115" s="561"/>
      <c r="C115" s="562" t="s">
        <v>123</v>
      </c>
      <c r="D115" s="563">
        <v>6700</v>
      </c>
      <c r="E115" s="563">
        <f>G115+P115</f>
        <v>6394.85</v>
      </c>
      <c r="F115" s="563">
        <f t="shared" si="56"/>
        <v>95.44552238805971</v>
      </c>
      <c r="G115" s="563">
        <f>H115+K115+L115+M115+N115+O115</f>
        <v>6394.85</v>
      </c>
      <c r="H115" s="563">
        <f>SUM(I115:J115)</f>
        <v>6394.85</v>
      </c>
      <c r="I115" s="563">
        <v>0</v>
      </c>
      <c r="J115" s="563">
        <v>6394.85</v>
      </c>
      <c r="K115" s="563">
        <v>0</v>
      </c>
      <c r="L115" s="563">
        <v>0</v>
      </c>
      <c r="M115" s="563">
        <v>0</v>
      </c>
      <c r="N115" s="563">
        <v>0</v>
      </c>
      <c r="O115" s="563">
        <v>0</v>
      </c>
      <c r="P115" s="563">
        <f>Q115+S115</f>
        <v>0</v>
      </c>
      <c r="Q115" s="563">
        <v>0</v>
      </c>
      <c r="R115" s="564">
        <v>0</v>
      </c>
      <c r="S115" s="563">
        <v>0</v>
      </c>
    </row>
    <row r="116" spans="1:19" ht="13.5" customHeight="1">
      <c r="A116" s="561"/>
      <c r="B116" s="561"/>
      <c r="C116" s="562" t="s">
        <v>125</v>
      </c>
      <c r="D116" s="563">
        <v>10200</v>
      </c>
      <c r="E116" s="563">
        <f>G116+P116</f>
        <v>9476.35</v>
      </c>
      <c r="F116" s="563">
        <f t="shared" si="56"/>
        <v>92.90539215686276</v>
      </c>
      <c r="G116" s="563">
        <f>H116+K116+L116+M116+N116+O116</f>
        <v>9476.35</v>
      </c>
      <c r="H116" s="563">
        <f>SUM(I116:J116)</f>
        <v>9476.35</v>
      </c>
      <c r="I116" s="563">
        <v>0</v>
      </c>
      <c r="J116" s="563">
        <v>9476.35</v>
      </c>
      <c r="K116" s="563">
        <v>0</v>
      </c>
      <c r="L116" s="563">
        <v>0</v>
      </c>
      <c r="M116" s="563">
        <v>0</v>
      </c>
      <c r="N116" s="563">
        <v>0</v>
      </c>
      <c r="O116" s="563">
        <v>0</v>
      </c>
      <c r="P116" s="563">
        <f>Q116+S116</f>
        <v>0</v>
      </c>
      <c r="Q116" s="563">
        <v>0</v>
      </c>
      <c r="R116" s="564">
        <v>0</v>
      </c>
      <c r="S116" s="563">
        <v>0</v>
      </c>
    </row>
    <row r="117" spans="1:19" ht="13.5" customHeight="1">
      <c r="A117" s="554" t="s">
        <v>39</v>
      </c>
      <c r="B117" s="557"/>
      <c r="C117" s="554"/>
      <c r="D117" s="560">
        <f>D118+D122+D120+D127+D125+D130</f>
        <v>57000</v>
      </c>
      <c r="E117" s="560">
        <f>E118+E122+E120+E127+E125+E130</f>
        <v>50290.75</v>
      </c>
      <c r="F117" s="560">
        <f t="shared" si="56"/>
        <v>88.22938596491228</v>
      </c>
      <c r="G117" s="560">
        <f aca="true" t="shared" si="58" ref="G117:S117">G118+G122+G120+G127+G125+G130</f>
        <v>11533.75</v>
      </c>
      <c r="H117" s="560">
        <f t="shared" si="58"/>
        <v>11533.75</v>
      </c>
      <c r="I117" s="560">
        <f t="shared" si="58"/>
        <v>0</v>
      </c>
      <c r="J117" s="560">
        <f t="shared" si="58"/>
        <v>11533.75</v>
      </c>
      <c r="K117" s="560">
        <f t="shared" si="58"/>
        <v>0</v>
      </c>
      <c r="L117" s="560">
        <f t="shared" si="58"/>
        <v>0</v>
      </c>
      <c r="M117" s="560">
        <f t="shared" si="58"/>
        <v>0</v>
      </c>
      <c r="N117" s="560">
        <f t="shared" si="58"/>
        <v>0</v>
      </c>
      <c r="O117" s="560">
        <f t="shared" si="58"/>
        <v>0</v>
      </c>
      <c r="P117" s="560">
        <f t="shared" si="58"/>
        <v>38757</v>
      </c>
      <c r="Q117" s="560">
        <f t="shared" si="58"/>
        <v>38757</v>
      </c>
      <c r="R117" s="560">
        <f t="shared" si="58"/>
        <v>0</v>
      </c>
      <c r="S117" s="560">
        <f t="shared" si="58"/>
        <v>0</v>
      </c>
    </row>
    <row r="118" spans="1:19" ht="13.5" customHeight="1">
      <c r="A118" s="557"/>
      <c r="B118" s="554" t="s">
        <v>340</v>
      </c>
      <c r="C118" s="554"/>
      <c r="D118" s="560">
        <f>SUM(D119:D119)</f>
        <v>1000</v>
      </c>
      <c r="E118" s="560">
        <f>SUM(E119:E119)</f>
        <v>1000</v>
      </c>
      <c r="F118" s="560">
        <f aca="true" t="shared" si="59" ref="F118:F128">E118/D118*100</f>
        <v>100</v>
      </c>
      <c r="G118" s="560">
        <f aca="true" t="shared" si="60" ref="G118:S120">SUM(G119:G119)</f>
        <v>1000</v>
      </c>
      <c r="H118" s="560">
        <f t="shared" si="60"/>
        <v>1000</v>
      </c>
      <c r="I118" s="560">
        <f t="shared" si="60"/>
        <v>0</v>
      </c>
      <c r="J118" s="560">
        <f t="shared" si="60"/>
        <v>1000</v>
      </c>
      <c r="K118" s="560">
        <f t="shared" si="60"/>
        <v>0</v>
      </c>
      <c r="L118" s="560">
        <f t="shared" si="60"/>
        <v>0</v>
      </c>
      <c r="M118" s="560">
        <f t="shared" si="60"/>
        <v>0</v>
      </c>
      <c r="N118" s="560">
        <f t="shared" si="60"/>
        <v>0</v>
      </c>
      <c r="O118" s="560">
        <f t="shared" si="60"/>
        <v>0</v>
      </c>
      <c r="P118" s="560">
        <f t="shared" si="60"/>
        <v>0</v>
      </c>
      <c r="Q118" s="560">
        <f t="shared" si="60"/>
        <v>0</v>
      </c>
      <c r="R118" s="560">
        <f t="shared" si="60"/>
        <v>0</v>
      </c>
      <c r="S118" s="560">
        <f t="shared" si="60"/>
        <v>0</v>
      </c>
    </row>
    <row r="119" spans="1:19" ht="13.5" customHeight="1">
      <c r="A119" s="561"/>
      <c r="B119" s="561"/>
      <c r="C119" s="562" t="s">
        <v>341</v>
      </c>
      <c r="D119" s="563">
        <v>1000</v>
      </c>
      <c r="E119" s="563">
        <f>G119+P119</f>
        <v>1000</v>
      </c>
      <c r="F119" s="563">
        <f t="shared" si="59"/>
        <v>100</v>
      </c>
      <c r="G119" s="563">
        <f>H119+K119+L119+M119+N119+O119</f>
        <v>1000</v>
      </c>
      <c r="H119" s="563">
        <f>SUM(I119:J119)</f>
        <v>1000</v>
      </c>
      <c r="I119" s="563">
        <v>0</v>
      </c>
      <c r="J119" s="563">
        <v>1000</v>
      </c>
      <c r="K119" s="563">
        <v>0</v>
      </c>
      <c r="L119" s="563">
        <v>0</v>
      </c>
      <c r="M119" s="563">
        <v>0</v>
      </c>
      <c r="N119" s="563">
        <v>0</v>
      </c>
      <c r="O119" s="563">
        <v>0</v>
      </c>
      <c r="P119" s="563">
        <f>Q119+S119</f>
        <v>0</v>
      </c>
      <c r="Q119" s="563"/>
      <c r="R119" s="564">
        <v>0</v>
      </c>
      <c r="S119" s="563">
        <v>0</v>
      </c>
    </row>
    <row r="120" spans="1:19" ht="13.5" customHeight="1">
      <c r="A120" s="561"/>
      <c r="B120" s="554" t="s">
        <v>456</v>
      </c>
      <c r="C120" s="554"/>
      <c r="D120" s="560">
        <f>SUM(D121:D121)</f>
        <v>1000</v>
      </c>
      <c r="E120" s="560">
        <f>SUM(E121:E121)</f>
        <v>1000</v>
      </c>
      <c r="F120" s="560">
        <f t="shared" si="59"/>
        <v>100</v>
      </c>
      <c r="G120" s="560">
        <f t="shared" si="60"/>
        <v>1000</v>
      </c>
      <c r="H120" s="560">
        <f t="shared" si="60"/>
        <v>1000</v>
      </c>
      <c r="I120" s="560">
        <f t="shared" si="60"/>
        <v>0</v>
      </c>
      <c r="J120" s="560">
        <f t="shared" si="60"/>
        <v>1000</v>
      </c>
      <c r="K120" s="560">
        <f t="shared" si="60"/>
        <v>0</v>
      </c>
      <c r="L120" s="560">
        <f t="shared" si="60"/>
        <v>0</v>
      </c>
      <c r="M120" s="560">
        <f t="shared" si="60"/>
        <v>0</v>
      </c>
      <c r="N120" s="560">
        <f t="shared" si="60"/>
        <v>0</v>
      </c>
      <c r="O120" s="560">
        <f t="shared" si="60"/>
        <v>0</v>
      </c>
      <c r="P120" s="560">
        <f t="shared" si="60"/>
        <v>0</v>
      </c>
      <c r="Q120" s="560">
        <f t="shared" si="60"/>
        <v>0</v>
      </c>
      <c r="R120" s="560">
        <f t="shared" si="60"/>
        <v>0</v>
      </c>
      <c r="S120" s="560">
        <f t="shared" si="60"/>
        <v>0</v>
      </c>
    </row>
    <row r="121" spans="1:19" ht="13.5" customHeight="1">
      <c r="A121" s="561"/>
      <c r="B121" s="561"/>
      <c r="C121" s="562" t="s">
        <v>341</v>
      </c>
      <c r="D121" s="563">
        <v>1000</v>
      </c>
      <c r="E121" s="563">
        <f>G121+P121</f>
        <v>1000</v>
      </c>
      <c r="F121" s="563">
        <f t="shared" si="59"/>
        <v>100</v>
      </c>
      <c r="G121" s="563">
        <f>H121+K121+L121+M121+N121+O121</f>
        <v>1000</v>
      </c>
      <c r="H121" s="563">
        <f>SUM(I121:J121)</f>
        <v>1000</v>
      </c>
      <c r="I121" s="563">
        <v>0</v>
      </c>
      <c r="J121" s="563">
        <v>1000</v>
      </c>
      <c r="K121" s="563">
        <v>0</v>
      </c>
      <c r="L121" s="563">
        <v>0</v>
      </c>
      <c r="M121" s="563">
        <v>0</v>
      </c>
      <c r="N121" s="563">
        <v>0</v>
      </c>
      <c r="O121" s="563">
        <v>0</v>
      </c>
      <c r="P121" s="563">
        <f>Q121+S121</f>
        <v>0</v>
      </c>
      <c r="Q121" s="563">
        <v>0</v>
      </c>
      <c r="R121" s="564">
        <v>0</v>
      </c>
      <c r="S121" s="563">
        <v>0</v>
      </c>
    </row>
    <row r="122" spans="1:19" ht="13.5" customHeight="1">
      <c r="A122" s="561"/>
      <c r="B122" s="554" t="s">
        <v>40</v>
      </c>
      <c r="C122" s="554"/>
      <c r="D122" s="560">
        <f>SUM(D123:D124)</f>
        <v>48500</v>
      </c>
      <c r="E122" s="560">
        <f>SUM(E123:E124)</f>
        <v>48290.75</v>
      </c>
      <c r="F122" s="560">
        <f t="shared" si="59"/>
        <v>99.56855670103093</v>
      </c>
      <c r="G122" s="560">
        <f aca="true" t="shared" si="61" ref="G122:S122">SUM(G123:G124)</f>
        <v>9533.75</v>
      </c>
      <c r="H122" s="560">
        <f t="shared" si="61"/>
        <v>9533.75</v>
      </c>
      <c r="I122" s="560">
        <f t="shared" si="61"/>
        <v>0</v>
      </c>
      <c r="J122" s="560">
        <f t="shared" si="61"/>
        <v>9533.75</v>
      </c>
      <c r="K122" s="560">
        <f t="shared" si="61"/>
        <v>0</v>
      </c>
      <c r="L122" s="560">
        <f t="shared" si="61"/>
        <v>0</v>
      </c>
      <c r="M122" s="560">
        <f t="shared" si="61"/>
        <v>0</v>
      </c>
      <c r="N122" s="560">
        <f t="shared" si="61"/>
        <v>0</v>
      </c>
      <c r="O122" s="560">
        <f t="shared" si="61"/>
        <v>0</v>
      </c>
      <c r="P122" s="560">
        <f t="shared" si="61"/>
        <v>38757</v>
      </c>
      <c r="Q122" s="560">
        <f t="shared" si="61"/>
        <v>38757</v>
      </c>
      <c r="R122" s="560">
        <f t="shared" si="61"/>
        <v>0</v>
      </c>
      <c r="S122" s="560">
        <f t="shared" si="61"/>
        <v>0</v>
      </c>
    </row>
    <row r="123" spans="1:19" ht="13.5" customHeight="1">
      <c r="A123" s="561"/>
      <c r="B123" s="561"/>
      <c r="C123" s="562" t="s">
        <v>123</v>
      </c>
      <c r="D123" s="563">
        <v>9743</v>
      </c>
      <c r="E123" s="563">
        <f>G123+P123</f>
        <v>9533.75</v>
      </c>
      <c r="F123" s="563">
        <f t="shared" si="59"/>
        <v>97.85230421841322</v>
      </c>
      <c r="G123" s="563">
        <f>H123+K123+L123+M123+N123+O123</f>
        <v>9533.75</v>
      </c>
      <c r="H123" s="563">
        <f>SUM(I123:J123)</f>
        <v>9533.75</v>
      </c>
      <c r="I123" s="563">
        <v>0</v>
      </c>
      <c r="J123" s="563">
        <v>9533.75</v>
      </c>
      <c r="K123" s="563">
        <v>0</v>
      </c>
      <c r="L123" s="563">
        <v>0</v>
      </c>
      <c r="M123" s="563">
        <v>0</v>
      </c>
      <c r="N123" s="563">
        <v>0</v>
      </c>
      <c r="O123" s="563">
        <v>0</v>
      </c>
      <c r="P123" s="563">
        <f>Q123+S123</f>
        <v>0</v>
      </c>
      <c r="Q123" s="563">
        <v>0</v>
      </c>
      <c r="R123" s="564">
        <v>0</v>
      </c>
      <c r="S123" s="563">
        <v>0</v>
      </c>
    </row>
    <row r="124" spans="1:19" ht="13.5" customHeight="1">
      <c r="A124" s="561"/>
      <c r="B124" s="561"/>
      <c r="C124" s="562" t="s">
        <v>326</v>
      </c>
      <c r="D124" s="563">
        <v>38757</v>
      </c>
      <c r="E124" s="563">
        <f>G124+P124</f>
        <v>38757</v>
      </c>
      <c r="F124" s="563">
        <f t="shared" si="59"/>
        <v>100</v>
      </c>
      <c r="G124" s="563">
        <f>H124+K124+L124+M124+N124+O124</f>
        <v>0</v>
      </c>
      <c r="H124" s="563">
        <f>SUM(I124:J124)</f>
        <v>0</v>
      </c>
      <c r="I124" s="563">
        <v>0</v>
      </c>
      <c r="J124" s="563">
        <v>0</v>
      </c>
      <c r="K124" s="563">
        <v>0</v>
      </c>
      <c r="L124" s="563">
        <v>0</v>
      </c>
      <c r="M124" s="563">
        <v>0</v>
      </c>
      <c r="N124" s="563">
        <v>0</v>
      </c>
      <c r="O124" s="563">
        <v>0</v>
      </c>
      <c r="P124" s="563">
        <f>Q124+S124</f>
        <v>38757</v>
      </c>
      <c r="Q124" s="563">
        <v>38757</v>
      </c>
      <c r="R124" s="564">
        <v>0</v>
      </c>
      <c r="S124" s="563">
        <v>0</v>
      </c>
    </row>
    <row r="125" spans="1:19" ht="13.5" customHeight="1">
      <c r="A125" s="561"/>
      <c r="B125" s="554" t="s">
        <v>83</v>
      </c>
      <c r="C125" s="554"/>
      <c r="D125" s="560">
        <f>SUM(D126:D126)</f>
        <v>5000</v>
      </c>
      <c r="E125" s="560">
        <f>SUM(E126:E126)</f>
        <v>0</v>
      </c>
      <c r="F125" s="560">
        <f>E125/D125*100</f>
        <v>0</v>
      </c>
      <c r="G125" s="560">
        <f aca="true" t="shared" si="62" ref="G125:S125">SUM(G126:G126)</f>
        <v>0</v>
      </c>
      <c r="H125" s="560">
        <f t="shared" si="62"/>
        <v>0</v>
      </c>
      <c r="I125" s="560">
        <f t="shared" si="62"/>
        <v>0</v>
      </c>
      <c r="J125" s="560">
        <f t="shared" si="62"/>
        <v>0</v>
      </c>
      <c r="K125" s="560">
        <f t="shared" si="62"/>
        <v>0</v>
      </c>
      <c r="L125" s="560">
        <f t="shared" si="62"/>
        <v>0</v>
      </c>
      <c r="M125" s="560">
        <f t="shared" si="62"/>
        <v>0</v>
      </c>
      <c r="N125" s="560">
        <f t="shared" si="62"/>
        <v>0</v>
      </c>
      <c r="O125" s="560">
        <f t="shared" si="62"/>
        <v>0</v>
      </c>
      <c r="P125" s="560">
        <f t="shared" si="62"/>
        <v>0</v>
      </c>
      <c r="Q125" s="560">
        <f t="shared" si="62"/>
        <v>0</v>
      </c>
      <c r="R125" s="560">
        <f t="shared" si="62"/>
        <v>0</v>
      </c>
      <c r="S125" s="560">
        <f t="shared" si="62"/>
        <v>0</v>
      </c>
    </row>
    <row r="126" spans="1:19" ht="13.5" customHeight="1">
      <c r="A126" s="561"/>
      <c r="B126" s="561"/>
      <c r="C126" s="562" t="s">
        <v>123</v>
      </c>
      <c r="D126" s="563">
        <v>5000</v>
      </c>
      <c r="E126" s="563">
        <f>G126+P126</f>
        <v>0</v>
      </c>
      <c r="F126" s="563">
        <f>E126/D126*100</f>
        <v>0</v>
      </c>
      <c r="G126" s="563">
        <f>H126+K126+L126+M126+N126+O126</f>
        <v>0</v>
      </c>
      <c r="H126" s="563">
        <f>SUM(I126:J126)</f>
        <v>0</v>
      </c>
      <c r="I126" s="563">
        <v>0</v>
      </c>
      <c r="J126" s="563">
        <v>0</v>
      </c>
      <c r="K126" s="563">
        <v>0</v>
      </c>
      <c r="L126" s="563">
        <v>0</v>
      </c>
      <c r="M126" s="563">
        <v>0</v>
      </c>
      <c r="N126" s="563">
        <v>0</v>
      </c>
      <c r="O126" s="563">
        <v>0</v>
      </c>
      <c r="P126" s="563">
        <f>Q126+S126</f>
        <v>0</v>
      </c>
      <c r="Q126" s="563">
        <v>0</v>
      </c>
      <c r="R126" s="564">
        <v>0</v>
      </c>
      <c r="S126" s="563">
        <v>0</v>
      </c>
    </row>
    <row r="127" spans="1:19" ht="13.5" customHeight="1">
      <c r="A127" s="561"/>
      <c r="B127" s="554" t="s">
        <v>457</v>
      </c>
      <c r="C127" s="554"/>
      <c r="D127" s="560">
        <f>SUM(D128:D129)</f>
        <v>500</v>
      </c>
      <c r="E127" s="560">
        <f>SUM(E128:E129)</f>
        <v>0</v>
      </c>
      <c r="F127" s="560">
        <f t="shared" si="59"/>
        <v>0</v>
      </c>
      <c r="G127" s="560">
        <f aca="true" t="shared" si="63" ref="G127:S127">SUM(G128:G129)</f>
        <v>0</v>
      </c>
      <c r="H127" s="560">
        <f t="shared" si="63"/>
        <v>0</v>
      </c>
      <c r="I127" s="560">
        <f t="shared" si="63"/>
        <v>0</v>
      </c>
      <c r="J127" s="560">
        <f t="shared" si="63"/>
        <v>0</v>
      </c>
      <c r="K127" s="560">
        <f t="shared" si="63"/>
        <v>0</v>
      </c>
      <c r="L127" s="560">
        <f t="shared" si="63"/>
        <v>0</v>
      </c>
      <c r="M127" s="560">
        <f t="shared" si="63"/>
        <v>0</v>
      </c>
      <c r="N127" s="560">
        <f t="shared" si="63"/>
        <v>0</v>
      </c>
      <c r="O127" s="560">
        <f t="shared" si="63"/>
        <v>0</v>
      </c>
      <c r="P127" s="560">
        <f t="shared" si="63"/>
        <v>0</v>
      </c>
      <c r="Q127" s="560">
        <f t="shared" si="63"/>
        <v>0</v>
      </c>
      <c r="R127" s="560">
        <f t="shared" si="63"/>
        <v>0</v>
      </c>
      <c r="S127" s="560">
        <f t="shared" si="63"/>
        <v>0</v>
      </c>
    </row>
    <row r="128" spans="1:19" ht="13.5" customHeight="1">
      <c r="A128" s="561"/>
      <c r="B128" s="561"/>
      <c r="C128" s="562" t="s">
        <v>123</v>
      </c>
      <c r="D128" s="563">
        <v>100</v>
      </c>
      <c r="E128" s="563">
        <f>G128+P128</f>
        <v>0</v>
      </c>
      <c r="F128" s="563">
        <f t="shared" si="59"/>
        <v>0</v>
      </c>
      <c r="G128" s="563">
        <f>H128+K128+L128+M128+N128+O128</f>
        <v>0</v>
      </c>
      <c r="H128" s="563">
        <f>SUM(I128:J128)</f>
        <v>0</v>
      </c>
      <c r="I128" s="563">
        <v>0</v>
      </c>
      <c r="J128" s="563">
        <v>0</v>
      </c>
      <c r="K128" s="563">
        <v>0</v>
      </c>
      <c r="L128" s="563">
        <v>0</v>
      </c>
      <c r="M128" s="563">
        <v>0</v>
      </c>
      <c r="N128" s="563">
        <v>0</v>
      </c>
      <c r="O128" s="563">
        <v>0</v>
      </c>
      <c r="P128" s="563">
        <f>Q128+S128</f>
        <v>0</v>
      </c>
      <c r="Q128" s="563">
        <v>0</v>
      </c>
      <c r="R128" s="564">
        <v>0</v>
      </c>
      <c r="S128" s="563">
        <v>0</v>
      </c>
    </row>
    <row r="129" spans="1:19" ht="13.5" customHeight="1">
      <c r="A129" s="561"/>
      <c r="B129" s="561"/>
      <c r="C129" s="562" t="s">
        <v>125</v>
      </c>
      <c r="D129" s="563">
        <v>400</v>
      </c>
      <c r="E129" s="563">
        <f>G129+P129</f>
        <v>0</v>
      </c>
      <c r="F129" s="563">
        <f aca="true" t="shared" si="64" ref="F129:F140">E129/D129*100</f>
        <v>0</v>
      </c>
      <c r="G129" s="563">
        <f>H129+K129+L129+M129+N129+O129</f>
        <v>0</v>
      </c>
      <c r="H129" s="563">
        <f>SUM(I129:J129)</f>
        <v>0</v>
      </c>
      <c r="I129" s="563">
        <v>0</v>
      </c>
      <c r="J129" s="563">
        <v>0</v>
      </c>
      <c r="K129" s="563">
        <v>0</v>
      </c>
      <c r="L129" s="563">
        <v>0</v>
      </c>
      <c r="M129" s="563">
        <v>0</v>
      </c>
      <c r="N129" s="563">
        <v>0</v>
      </c>
      <c r="O129" s="563">
        <v>0</v>
      </c>
      <c r="P129" s="563">
        <f>Q129+S129</f>
        <v>0</v>
      </c>
      <c r="Q129" s="563">
        <v>0</v>
      </c>
      <c r="R129" s="564">
        <v>0</v>
      </c>
      <c r="S129" s="563">
        <v>0</v>
      </c>
    </row>
    <row r="130" spans="1:19" ht="13.5" customHeight="1">
      <c r="A130" s="561"/>
      <c r="B130" s="554" t="s">
        <v>617</v>
      </c>
      <c r="C130" s="554"/>
      <c r="D130" s="560">
        <f>SUM(D131:D131)</f>
        <v>1000</v>
      </c>
      <c r="E130" s="560">
        <f>SUM(E131:E131)</f>
        <v>0</v>
      </c>
      <c r="F130" s="560">
        <f>E130/D130*100</f>
        <v>0</v>
      </c>
      <c r="G130" s="560">
        <f aca="true" t="shared" si="65" ref="G130:S130">SUM(G131:G131)</f>
        <v>0</v>
      </c>
      <c r="H130" s="560">
        <f t="shared" si="65"/>
        <v>0</v>
      </c>
      <c r="I130" s="560">
        <f t="shared" si="65"/>
        <v>0</v>
      </c>
      <c r="J130" s="560">
        <f t="shared" si="65"/>
        <v>0</v>
      </c>
      <c r="K130" s="560">
        <f t="shared" si="65"/>
        <v>0</v>
      </c>
      <c r="L130" s="560">
        <f t="shared" si="65"/>
        <v>0</v>
      </c>
      <c r="M130" s="560">
        <f t="shared" si="65"/>
        <v>0</v>
      </c>
      <c r="N130" s="560">
        <f t="shared" si="65"/>
        <v>0</v>
      </c>
      <c r="O130" s="560">
        <f t="shared" si="65"/>
        <v>0</v>
      </c>
      <c r="P130" s="560">
        <f t="shared" si="65"/>
        <v>0</v>
      </c>
      <c r="Q130" s="560">
        <f t="shared" si="65"/>
        <v>0</v>
      </c>
      <c r="R130" s="560">
        <f t="shared" si="65"/>
        <v>0</v>
      </c>
      <c r="S130" s="560">
        <f t="shared" si="65"/>
        <v>0</v>
      </c>
    </row>
    <row r="131" spans="1:19" ht="13.5" customHeight="1">
      <c r="A131" s="561"/>
      <c r="B131" s="561"/>
      <c r="C131" s="562" t="s">
        <v>125</v>
      </c>
      <c r="D131" s="563">
        <v>1000</v>
      </c>
      <c r="E131" s="563">
        <f>G131+P131</f>
        <v>0</v>
      </c>
      <c r="F131" s="563">
        <f>E131/D131*100</f>
        <v>0</v>
      </c>
      <c r="G131" s="563">
        <f>H131+K131+L131+M131+N131+O131</f>
        <v>0</v>
      </c>
      <c r="H131" s="563">
        <f>SUM(I131:J131)</f>
        <v>0</v>
      </c>
      <c r="I131" s="563">
        <v>0</v>
      </c>
      <c r="J131" s="563">
        <v>0</v>
      </c>
      <c r="K131" s="563">
        <v>0</v>
      </c>
      <c r="L131" s="563">
        <v>0</v>
      </c>
      <c r="M131" s="563">
        <v>0</v>
      </c>
      <c r="N131" s="563">
        <v>0</v>
      </c>
      <c r="O131" s="563">
        <v>0</v>
      </c>
      <c r="P131" s="563">
        <f>Q131+S131</f>
        <v>0</v>
      </c>
      <c r="Q131" s="563">
        <v>0</v>
      </c>
      <c r="R131" s="564">
        <v>0</v>
      </c>
      <c r="S131" s="563">
        <v>0</v>
      </c>
    </row>
    <row r="132" spans="1:19" ht="13.5" customHeight="1">
      <c r="A132" s="557" t="s">
        <v>342</v>
      </c>
      <c r="B132" s="557"/>
      <c r="C132" s="554"/>
      <c r="D132" s="560">
        <f>D133</f>
        <v>1083935</v>
      </c>
      <c r="E132" s="560">
        <f>E133</f>
        <v>988192.6</v>
      </c>
      <c r="F132" s="560">
        <f t="shared" si="64"/>
        <v>91.16714563142624</v>
      </c>
      <c r="G132" s="560">
        <f aca="true" t="shared" si="66" ref="G132:S132">G133</f>
        <v>988192.6</v>
      </c>
      <c r="H132" s="560">
        <f t="shared" si="66"/>
        <v>0</v>
      </c>
      <c r="I132" s="560">
        <f t="shared" si="66"/>
        <v>0</v>
      </c>
      <c r="J132" s="560">
        <f t="shared" si="66"/>
        <v>0</v>
      </c>
      <c r="K132" s="560">
        <f t="shared" si="66"/>
        <v>0</v>
      </c>
      <c r="L132" s="560">
        <f t="shared" si="66"/>
        <v>0</v>
      </c>
      <c r="M132" s="560">
        <f t="shared" si="66"/>
        <v>0</v>
      </c>
      <c r="N132" s="560">
        <f t="shared" si="66"/>
        <v>0</v>
      </c>
      <c r="O132" s="560">
        <f t="shared" si="66"/>
        <v>988192.6</v>
      </c>
      <c r="P132" s="560">
        <f t="shared" si="66"/>
        <v>0</v>
      </c>
      <c r="Q132" s="560">
        <f t="shared" si="66"/>
        <v>0</v>
      </c>
      <c r="R132" s="560">
        <f t="shared" si="66"/>
        <v>0</v>
      </c>
      <c r="S132" s="560">
        <f t="shared" si="66"/>
        <v>0</v>
      </c>
    </row>
    <row r="133" spans="1:19" ht="13.5" customHeight="1">
      <c r="A133" s="557"/>
      <c r="B133" s="554" t="s">
        <v>343</v>
      </c>
      <c r="C133" s="554"/>
      <c r="D133" s="560">
        <f>SUM(D134:D134)</f>
        <v>1083935</v>
      </c>
      <c r="E133" s="560">
        <f>SUM(E134:E134)</f>
        <v>988192.6</v>
      </c>
      <c r="F133" s="560">
        <f t="shared" si="64"/>
        <v>91.16714563142624</v>
      </c>
      <c r="G133" s="560">
        <f aca="true" t="shared" si="67" ref="G133:S133">SUM(G134:G134)</f>
        <v>988192.6</v>
      </c>
      <c r="H133" s="560">
        <f t="shared" si="67"/>
        <v>0</v>
      </c>
      <c r="I133" s="560">
        <f t="shared" si="67"/>
        <v>0</v>
      </c>
      <c r="J133" s="560">
        <f t="shared" si="67"/>
        <v>0</v>
      </c>
      <c r="K133" s="560">
        <f t="shared" si="67"/>
        <v>0</v>
      </c>
      <c r="L133" s="560">
        <f t="shared" si="67"/>
        <v>0</v>
      </c>
      <c r="M133" s="560">
        <f t="shared" si="67"/>
        <v>0</v>
      </c>
      <c r="N133" s="560">
        <f t="shared" si="67"/>
        <v>0</v>
      </c>
      <c r="O133" s="560">
        <f t="shared" si="67"/>
        <v>988192.6</v>
      </c>
      <c r="P133" s="560">
        <f t="shared" si="67"/>
        <v>0</v>
      </c>
      <c r="Q133" s="560">
        <f t="shared" si="67"/>
        <v>0</v>
      </c>
      <c r="R133" s="560">
        <f t="shared" si="67"/>
        <v>0</v>
      </c>
      <c r="S133" s="560">
        <f t="shared" si="67"/>
        <v>0</v>
      </c>
    </row>
    <row r="134" spans="1:19" ht="13.5" customHeight="1">
      <c r="A134" s="561"/>
      <c r="B134" s="561"/>
      <c r="C134" s="562" t="s">
        <v>344</v>
      </c>
      <c r="D134" s="563">
        <v>1083935</v>
      </c>
      <c r="E134" s="563">
        <f>G134+P134</f>
        <v>988192.6</v>
      </c>
      <c r="F134" s="563">
        <f t="shared" si="64"/>
        <v>91.16714563142624</v>
      </c>
      <c r="G134" s="563">
        <f>H134+K134+L134+M134+N134+O134</f>
        <v>988192.6</v>
      </c>
      <c r="H134" s="563">
        <f>SUM(I134:J134)</f>
        <v>0</v>
      </c>
      <c r="I134" s="563">
        <v>0</v>
      </c>
      <c r="J134" s="563">
        <v>0</v>
      </c>
      <c r="K134" s="563">
        <v>0</v>
      </c>
      <c r="L134" s="563">
        <v>0</v>
      </c>
      <c r="M134" s="563">
        <v>0</v>
      </c>
      <c r="N134" s="563">
        <v>0</v>
      </c>
      <c r="O134" s="563">
        <v>988192.6</v>
      </c>
      <c r="P134" s="563">
        <f>Q134+S134</f>
        <v>0</v>
      </c>
      <c r="Q134" s="563">
        <v>0</v>
      </c>
      <c r="R134" s="564">
        <v>0</v>
      </c>
      <c r="S134" s="563">
        <v>0</v>
      </c>
    </row>
    <row r="135" spans="1:19" ht="13.5" customHeight="1">
      <c r="A135" s="557" t="s">
        <v>24</v>
      </c>
      <c r="B135" s="557"/>
      <c r="C135" s="554"/>
      <c r="D135" s="560">
        <f>D136</f>
        <v>433822</v>
      </c>
      <c r="E135" s="560">
        <f>E136</f>
        <v>0</v>
      </c>
      <c r="F135" s="560">
        <f t="shared" si="64"/>
        <v>0</v>
      </c>
      <c r="G135" s="560">
        <f aca="true" t="shared" si="68" ref="G135:S135">G136</f>
        <v>0</v>
      </c>
      <c r="H135" s="560">
        <f t="shared" si="68"/>
        <v>0</v>
      </c>
      <c r="I135" s="560">
        <f t="shared" si="68"/>
        <v>0</v>
      </c>
      <c r="J135" s="560">
        <f t="shared" si="68"/>
        <v>0</v>
      </c>
      <c r="K135" s="560">
        <f t="shared" si="68"/>
        <v>0</v>
      </c>
      <c r="L135" s="560">
        <f t="shared" si="68"/>
        <v>0</v>
      </c>
      <c r="M135" s="560">
        <f t="shared" si="68"/>
        <v>0</v>
      </c>
      <c r="N135" s="560">
        <f t="shared" si="68"/>
        <v>0</v>
      </c>
      <c r="O135" s="560">
        <f t="shared" si="68"/>
        <v>0</v>
      </c>
      <c r="P135" s="560">
        <f t="shared" si="68"/>
        <v>0</v>
      </c>
      <c r="Q135" s="560">
        <f t="shared" si="68"/>
        <v>0</v>
      </c>
      <c r="R135" s="560">
        <f t="shared" si="68"/>
        <v>0</v>
      </c>
      <c r="S135" s="560">
        <f t="shared" si="68"/>
        <v>0</v>
      </c>
    </row>
    <row r="136" spans="1:19" ht="13.5" customHeight="1">
      <c r="A136" s="557"/>
      <c r="B136" s="554" t="s">
        <v>345</v>
      </c>
      <c r="C136" s="554"/>
      <c r="D136" s="560">
        <f>SUM(D137:D138)</f>
        <v>433822</v>
      </c>
      <c r="E136" s="560">
        <f>SUM(E137:E138)</f>
        <v>0</v>
      </c>
      <c r="F136" s="560">
        <f t="shared" si="64"/>
        <v>0</v>
      </c>
      <c r="G136" s="560">
        <f aca="true" t="shared" si="69" ref="G136:S136">SUM(G137:G138)</f>
        <v>0</v>
      </c>
      <c r="H136" s="560">
        <f t="shared" si="69"/>
        <v>0</v>
      </c>
      <c r="I136" s="560">
        <f t="shared" si="69"/>
        <v>0</v>
      </c>
      <c r="J136" s="560">
        <f t="shared" si="69"/>
        <v>0</v>
      </c>
      <c r="K136" s="560">
        <f t="shared" si="69"/>
        <v>0</v>
      </c>
      <c r="L136" s="560">
        <f t="shared" si="69"/>
        <v>0</v>
      </c>
      <c r="M136" s="560">
        <f t="shared" si="69"/>
        <v>0</v>
      </c>
      <c r="N136" s="560">
        <f t="shared" si="69"/>
        <v>0</v>
      </c>
      <c r="O136" s="560">
        <f t="shared" si="69"/>
        <v>0</v>
      </c>
      <c r="P136" s="560">
        <f t="shared" si="69"/>
        <v>0</v>
      </c>
      <c r="Q136" s="560">
        <f t="shared" si="69"/>
        <v>0</v>
      </c>
      <c r="R136" s="560">
        <f t="shared" si="69"/>
        <v>0</v>
      </c>
      <c r="S136" s="560">
        <f t="shared" si="69"/>
        <v>0</v>
      </c>
    </row>
    <row r="137" spans="1:19" ht="13.5" customHeight="1">
      <c r="A137" s="561"/>
      <c r="B137" s="561"/>
      <c r="C137" s="562" t="s">
        <v>346</v>
      </c>
      <c r="D137" s="563">
        <v>378651</v>
      </c>
      <c r="E137" s="563">
        <f>G137+P137</f>
        <v>0</v>
      </c>
      <c r="F137" s="563">
        <f t="shared" si="64"/>
        <v>0</v>
      </c>
      <c r="G137" s="563">
        <f>H137+K137+L137+M137+N137+O137</f>
        <v>0</v>
      </c>
      <c r="H137" s="563">
        <f>SUM(I137:J137)</f>
        <v>0</v>
      </c>
      <c r="I137" s="563">
        <v>0</v>
      </c>
      <c r="J137" s="563">
        <v>0</v>
      </c>
      <c r="K137" s="563">
        <v>0</v>
      </c>
      <c r="L137" s="563">
        <v>0</v>
      </c>
      <c r="M137" s="563">
        <v>0</v>
      </c>
      <c r="N137" s="563">
        <v>0</v>
      </c>
      <c r="O137" s="563">
        <v>0</v>
      </c>
      <c r="P137" s="563">
        <f>Q137+S137</f>
        <v>0</v>
      </c>
      <c r="Q137" s="563">
        <v>0</v>
      </c>
      <c r="R137" s="564">
        <v>0</v>
      </c>
      <c r="S137" s="563">
        <v>0</v>
      </c>
    </row>
    <row r="138" spans="1:19" ht="13.5" customHeight="1">
      <c r="A138" s="561"/>
      <c r="B138" s="561"/>
      <c r="C138" s="562" t="s">
        <v>458</v>
      </c>
      <c r="D138" s="563">
        <v>55171</v>
      </c>
      <c r="E138" s="563">
        <f>G138+P138</f>
        <v>0</v>
      </c>
      <c r="F138" s="563">
        <f t="shared" si="64"/>
        <v>0</v>
      </c>
      <c r="G138" s="563">
        <f>H138+K138+L138+M138+N138+O138</f>
        <v>0</v>
      </c>
      <c r="H138" s="563">
        <f>SUM(I138:J138)</f>
        <v>0</v>
      </c>
      <c r="I138" s="563">
        <v>0</v>
      </c>
      <c r="J138" s="563">
        <v>0</v>
      </c>
      <c r="K138" s="563">
        <v>0</v>
      </c>
      <c r="L138" s="563">
        <v>0</v>
      </c>
      <c r="M138" s="563">
        <v>0</v>
      </c>
      <c r="N138" s="563">
        <v>0</v>
      </c>
      <c r="O138" s="563">
        <v>0</v>
      </c>
      <c r="P138" s="563">
        <f>Q138+S138</f>
        <v>0</v>
      </c>
      <c r="Q138" s="563">
        <v>0</v>
      </c>
      <c r="R138" s="564">
        <v>0</v>
      </c>
      <c r="S138" s="563">
        <v>0</v>
      </c>
    </row>
    <row r="139" spans="1:19" ht="13.5" customHeight="1">
      <c r="A139" s="557" t="s">
        <v>50</v>
      </c>
      <c r="B139" s="557"/>
      <c r="C139" s="554"/>
      <c r="D139" s="560">
        <f>D140+D155+D161+D182+D210+D216+D246+D148+D231</f>
        <v>24268117</v>
      </c>
      <c r="E139" s="560">
        <f>E140+E155+E161+E182+E210+E216+E246+E148+E231</f>
        <v>23130549.640000004</v>
      </c>
      <c r="F139" s="560">
        <f t="shared" si="64"/>
        <v>95.31250257282015</v>
      </c>
      <c r="G139" s="560">
        <f aca="true" t="shared" si="70" ref="G139:S139">G140+G155+G161+G182+G210+G216+G246+G148+G231</f>
        <v>23073478.590000007</v>
      </c>
      <c r="H139" s="560">
        <f t="shared" si="70"/>
        <v>21965814.070000004</v>
      </c>
      <c r="I139" s="560">
        <f t="shared" si="70"/>
        <v>19155049.400000002</v>
      </c>
      <c r="J139" s="560">
        <f t="shared" si="70"/>
        <v>2810764.6700000004</v>
      </c>
      <c r="K139" s="560">
        <f t="shared" si="70"/>
        <v>629862.3400000001</v>
      </c>
      <c r="L139" s="560">
        <f t="shared" si="70"/>
        <v>220634.84999999998</v>
      </c>
      <c r="M139" s="560">
        <f t="shared" si="70"/>
        <v>257167.33</v>
      </c>
      <c r="N139" s="560">
        <f t="shared" si="70"/>
        <v>0</v>
      </c>
      <c r="O139" s="560">
        <f t="shared" si="70"/>
        <v>0</v>
      </c>
      <c r="P139" s="560">
        <f t="shared" si="70"/>
        <v>57071.05</v>
      </c>
      <c r="Q139" s="560">
        <f t="shared" si="70"/>
        <v>57071.05</v>
      </c>
      <c r="R139" s="560">
        <f t="shared" si="70"/>
        <v>0</v>
      </c>
      <c r="S139" s="560">
        <f t="shared" si="70"/>
        <v>0</v>
      </c>
    </row>
    <row r="140" spans="1:19" ht="13.5" customHeight="1">
      <c r="A140" s="557"/>
      <c r="B140" s="554" t="s">
        <v>51</v>
      </c>
      <c r="C140" s="554"/>
      <c r="D140" s="560">
        <f>SUM(D141:D147)</f>
        <v>3075467</v>
      </c>
      <c r="E140" s="560">
        <f>SUM(E141:E147)</f>
        <v>3058248.4100000006</v>
      </c>
      <c r="F140" s="560">
        <f t="shared" si="64"/>
        <v>99.44013088093615</v>
      </c>
      <c r="G140" s="560">
        <f aca="true" t="shared" si="71" ref="G140:S140">SUM(G141:G147)</f>
        <v>3058248.4100000006</v>
      </c>
      <c r="H140" s="560">
        <f t="shared" si="71"/>
        <v>3058248.4100000006</v>
      </c>
      <c r="I140" s="560">
        <f t="shared" si="71"/>
        <v>2943741.4800000004</v>
      </c>
      <c r="J140" s="560">
        <f t="shared" si="71"/>
        <v>114506.93</v>
      </c>
      <c r="K140" s="560">
        <f t="shared" si="71"/>
        <v>0</v>
      </c>
      <c r="L140" s="560">
        <f t="shared" si="71"/>
        <v>0</v>
      </c>
      <c r="M140" s="560">
        <f t="shared" si="71"/>
        <v>0</v>
      </c>
      <c r="N140" s="560">
        <f t="shared" si="71"/>
        <v>0</v>
      </c>
      <c r="O140" s="560">
        <f t="shared" si="71"/>
        <v>0</v>
      </c>
      <c r="P140" s="560">
        <f t="shared" si="71"/>
        <v>0</v>
      </c>
      <c r="Q140" s="560">
        <f t="shared" si="71"/>
        <v>0</v>
      </c>
      <c r="R140" s="560">
        <f t="shared" si="71"/>
        <v>0</v>
      </c>
      <c r="S140" s="560">
        <f t="shared" si="71"/>
        <v>0</v>
      </c>
    </row>
    <row r="141" spans="1:19" ht="13.5" customHeight="1">
      <c r="A141" s="561"/>
      <c r="B141" s="561"/>
      <c r="C141" s="562" t="s">
        <v>295</v>
      </c>
      <c r="D141" s="563">
        <v>2307241</v>
      </c>
      <c r="E141" s="563">
        <f aca="true" t="shared" si="72" ref="E141:E147">G141+P141</f>
        <v>2307240.99</v>
      </c>
      <c r="F141" s="563">
        <f aca="true" t="shared" si="73" ref="F141:F154">E141/D141*100</f>
        <v>99.9999995665819</v>
      </c>
      <c r="G141" s="563">
        <f aca="true" t="shared" si="74" ref="G141:G147">H141+K141+L141+M141+N141+O141</f>
        <v>2307240.99</v>
      </c>
      <c r="H141" s="563">
        <f aca="true" t="shared" si="75" ref="H141:H147">SUM(I141:J141)</f>
        <v>2307240.99</v>
      </c>
      <c r="I141" s="563">
        <v>2307240.99</v>
      </c>
      <c r="J141" s="563">
        <v>0</v>
      </c>
      <c r="K141" s="563">
        <v>0</v>
      </c>
      <c r="L141" s="563">
        <v>0</v>
      </c>
      <c r="M141" s="563">
        <v>0</v>
      </c>
      <c r="N141" s="563">
        <v>0</v>
      </c>
      <c r="O141" s="563">
        <v>0</v>
      </c>
      <c r="P141" s="563">
        <f aca="true" t="shared" si="76" ref="P141:P147">Q141+S141</f>
        <v>0</v>
      </c>
      <c r="Q141" s="563">
        <v>0</v>
      </c>
      <c r="R141" s="564">
        <v>0</v>
      </c>
      <c r="S141" s="563">
        <v>0</v>
      </c>
    </row>
    <row r="142" spans="1:19" ht="13.5" customHeight="1">
      <c r="A142" s="561"/>
      <c r="B142" s="561"/>
      <c r="C142" s="562" t="s">
        <v>296</v>
      </c>
      <c r="D142" s="563">
        <v>168488</v>
      </c>
      <c r="E142" s="563">
        <f t="shared" si="72"/>
        <v>167038.6</v>
      </c>
      <c r="F142" s="563">
        <f t="shared" si="73"/>
        <v>99.1397606951237</v>
      </c>
      <c r="G142" s="563">
        <f t="shared" si="74"/>
        <v>167038.6</v>
      </c>
      <c r="H142" s="563">
        <f t="shared" si="75"/>
        <v>167038.6</v>
      </c>
      <c r="I142" s="563">
        <v>167038.6</v>
      </c>
      <c r="J142" s="563">
        <v>0</v>
      </c>
      <c r="K142" s="563">
        <v>0</v>
      </c>
      <c r="L142" s="563">
        <v>0</v>
      </c>
      <c r="M142" s="563">
        <v>0</v>
      </c>
      <c r="N142" s="563">
        <v>0</v>
      </c>
      <c r="O142" s="563">
        <v>0</v>
      </c>
      <c r="P142" s="563">
        <f t="shared" si="76"/>
        <v>0</v>
      </c>
      <c r="Q142" s="563">
        <v>0</v>
      </c>
      <c r="R142" s="564">
        <v>0</v>
      </c>
      <c r="S142" s="563">
        <v>0</v>
      </c>
    </row>
    <row r="143" spans="1:19" ht="13.5" customHeight="1">
      <c r="A143" s="561"/>
      <c r="B143" s="561"/>
      <c r="C143" s="562" t="s">
        <v>297</v>
      </c>
      <c r="D143" s="563">
        <v>421546</v>
      </c>
      <c r="E143" s="563">
        <f t="shared" si="72"/>
        <v>414588.23</v>
      </c>
      <c r="F143" s="563">
        <f t="shared" si="73"/>
        <v>98.34946364097867</v>
      </c>
      <c r="G143" s="563">
        <f t="shared" si="74"/>
        <v>414588.23</v>
      </c>
      <c r="H143" s="563">
        <f t="shared" si="75"/>
        <v>414588.23</v>
      </c>
      <c r="I143" s="563">
        <v>414588.23</v>
      </c>
      <c r="J143" s="563">
        <v>0</v>
      </c>
      <c r="K143" s="563">
        <v>0</v>
      </c>
      <c r="L143" s="563">
        <v>0</v>
      </c>
      <c r="M143" s="563">
        <v>0</v>
      </c>
      <c r="N143" s="563">
        <v>0</v>
      </c>
      <c r="O143" s="563">
        <v>0</v>
      </c>
      <c r="P143" s="563">
        <f t="shared" si="76"/>
        <v>0</v>
      </c>
      <c r="Q143" s="563">
        <v>0</v>
      </c>
      <c r="R143" s="564">
        <v>0</v>
      </c>
      <c r="S143" s="563">
        <v>0</v>
      </c>
    </row>
    <row r="144" spans="1:19" ht="13.5" customHeight="1">
      <c r="A144" s="561"/>
      <c r="B144" s="561"/>
      <c r="C144" s="562" t="s">
        <v>298</v>
      </c>
      <c r="D144" s="563">
        <v>54684</v>
      </c>
      <c r="E144" s="563">
        <f t="shared" si="72"/>
        <v>51103.66</v>
      </c>
      <c r="F144" s="563">
        <f t="shared" si="73"/>
        <v>93.45267354253531</v>
      </c>
      <c r="G144" s="563">
        <f t="shared" si="74"/>
        <v>51103.66</v>
      </c>
      <c r="H144" s="563">
        <f t="shared" si="75"/>
        <v>51103.66</v>
      </c>
      <c r="I144" s="563">
        <v>51103.66</v>
      </c>
      <c r="J144" s="563">
        <v>0</v>
      </c>
      <c r="K144" s="563">
        <v>0</v>
      </c>
      <c r="L144" s="563">
        <v>0</v>
      </c>
      <c r="M144" s="563">
        <v>0</v>
      </c>
      <c r="N144" s="563">
        <v>0</v>
      </c>
      <c r="O144" s="563">
        <v>0</v>
      </c>
      <c r="P144" s="563">
        <f t="shared" si="76"/>
        <v>0</v>
      </c>
      <c r="Q144" s="563">
        <v>0</v>
      </c>
      <c r="R144" s="564">
        <v>0</v>
      </c>
      <c r="S144" s="563">
        <v>0</v>
      </c>
    </row>
    <row r="145" spans="1:19" ht="13.5" customHeight="1">
      <c r="A145" s="561"/>
      <c r="B145" s="561"/>
      <c r="C145" s="562" t="s">
        <v>305</v>
      </c>
      <c r="D145" s="563">
        <v>9000</v>
      </c>
      <c r="E145" s="563">
        <f t="shared" si="72"/>
        <v>3770</v>
      </c>
      <c r="F145" s="563">
        <f t="shared" si="73"/>
        <v>41.888888888888886</v>
      </c>
      <c r="G145" s="563">
        <f t="shared" si="74"/>
        <v>3770</v>
      </c>
      <c r="H145" s="563">
        <f t="shared" si="75"/>
        <v>3770</v>
      </c>
      <c r="I145" s="563">
        <v>3770</v>
      </c>
      <c r="J145" s="563">
        <v>0</v>
      </c>
      <c r="K145" s="563">
        <v>0</v>
      </c>
      <c r="L145" s="563">
        <v>0</v>
      </c>
      <c r="M145" s="563">
        <v>0</v>
      </c>
      <c r="N145" s="563">
        <v>0</v>
      </c>
      <c r="O145" s="563">
        <v>0</v>
      </c>
      <c r="P145" s="563">
        <f t="shared" si="76"/>
        <v>0</v>
      </c>
      <c r="Q145" s="563">
        <v>0</v>
      </c>
      <c r="R145" s="564">
        <v>0</v>
      </c>
      <c r="S145" s="563">
        <v>0</v>
      </c>
    </row>
    <row r="146" spans="1:19" ht="13.5" customHeight="1">
      <c r="A146" s="561"/>
      <c r="B146" s="561"/>
      <c r="C146" s="562" t="s">
        <v>331</v>
      </c>
      <c r="D146" s="563">
        <v>2500</v>
      </c>
      <c r="E146" s="563">
        <f>G146+P146</f>
        <v>2499.89</v>
      </c>
      <c r="F146" s="563">
        <f>E146/D146*100</f>
        <v>99.9956</v>
      </c>
      <c r="G146" s="563">
        <f>H146+K146+L146+M146+N146+O146</f>
        <v>2499.89</v>
      </c>
      <c r="H146" s="563">
        <f>SUM(I146:J146)</f>
        <v>2499.89</v>
      </c>
      <c r="I146" s="563">
        <v>0</v>
      </c>
      <c r="J146" s="563">
        <v>2499.89</v>
      </c>
      <c r="K146" s="563">
        <v>0</v>
      </c>
      <c r="L146" s="563">
        <v>0</v>
      </c>
      <c r="M146" s="563">
        <v>0</v>
      </c>
      <c r="N146" s="563">
        <v>0</v>
      </c>
      <c r="O146" s="563">
        <v>0</v>
      </c>
      <c r="P146" s="563">
        <f>Q146+S146</f>
        <v>0</v>
      </c>
      <c r="Q146" s="563">
        <v>0</v>
      </c>
      <c r="R146" s="564">
        <v>0</v>
      </c>
      <c r="S146" s="563">
        <v>0</v>
      </c>
    </row>
    <row r="147" spans="1:19" ht="13.5" customHeight="1">
      <c r="A147" s="561"/>
      <c r="B147" s="561"/>
      <c r="C147" s="562" t="s">
        <v>304</v>
      </c>
      <c r="D147" s="563">
        <v>112008</v>
      </c>
      <c r="E147" s="563">
        <f t="shared" si="72"/>
        <v>112007.04</v>
      </c>
      <c r="F147" s="563">
        <f t="shared" si="73"/>
        <v>99.99914291836298</v>
      </c>
      <c r="G147" s="563">
        <f t="shared" si="74"/>
        <v>112007.04</v>
      </c>
      <c r="H147" s="563">
        <f t="shared" si="75"/>
        <v>112007.04</v>
      </c>
      <c r="I147" s="563">
        <v>0</v>
      </c>
      <c r="J147" s="563">
        <v>112007.04</v>
      </c>
      <c r="K147" s="563">
        <v>0</v>
      </c>
      <c r="L147" s="563">
        <v>0</v>
      </c>
      <c r="M147" s="563">
        <v>0</v>
      </c>
      <c r="N147" s="563">
        <v>0</v>
      </c>
      <c r="O147" s="563">
        <v>0</v>
      </c>
      <c r="P147" s="563">
        <f t="shared" si="76"/>
        <v>0</v>
      </c>
      <c r="Q147" s="563">
        <v>0</v>
      </c>
      <c r="R147" s="564">
        <v>0</v>
      </c>
      <c r="S147" s="563">
        <v>0</v>
      </c>
    </row>
    <row r="148" spans="1:19" ht="13.5" customHeight="1">
      <c r="A148" s="561"/>
      <c r="B148" s="554" t="s">
        <v>507</v>
      </c>
      <c r="C148" s="554"/>
      <c r="D148" s="560">
        <f>SUM(D149:D154)</f>
        <v>364421</v>
      </c>
      <c r="E148" s="560">
        <f>SUM(E149:E154)</f>
        <v>337691.64</v>
      </c>
      <c r="F148" s="560">
        <f t="shared" si="73"/>
        <v>92.66525255130742</v>
      </c>
      <c r="G148" s="560">
        <f aca="true" t="shared" si="77" ref="G148:S148">SUM(G149:G154)</f>
        <v>337691.64</v>
      </c>
      <c r="H148" s="560">
        <f t="shared" si="77"/>
        <v>337591.64</v>
      </c>
      <c r="I148" s="560">
        <f t="shared" si="77"/>
        <v>320024.64</v>
      </c>
      <c r="J148" s="560">
        <f t="shared" si="77"/>
        <v>17567</v>
      </c>
      <c r="K148" s="560">
        <f t="shared" si="77"/>
        <v>0</v>
      </c>
      <c r="L148" s="560">
        <f t="shared" si="77"/>
        <v>100</v>
      </c>
      <c r="M148" s="560">
        <f t="shared" si="77"/>
        <v>0</v>
      </c>
      <c r="N148" s="560">
        <f t="shared" si="77"/>
        <v>0</v>
      </c>
      <c r="O148" s="560">
        <f t="shared" si="77"/>
        <v>0</v>
      </c>
      <c r="P148" s="560">
        <f t="shared" si="77"/>
        <v>0</v>
      </c>
      <c r="Q148" s="560">
        <f t="shared" si="77"/>
        <v>0</v>
      </c>
      <c r="R148" s="560">
        <f t="shared" si="77"/>
        <v>0</v>
      </c>
      <c r="S148" s="560">
        <f t="shared" si="77"/>
        <v>0</v>
      </c>
    </row>
    <row r="149" spans="1:19" ht="13.5" customHeight="1">
      <c r="A149" s="561"/>
      <c r="B149" s="561"/>
      <c r="C149" s="562" t="s">
        <v>307</v>
      </c>
      <c r="D149" s="563">
        <v>502</v>
      </c>
      <c r="E149" s="563">
        <f aca="true" t="shared" si="78" ref="E149:E154">G149+P149</f>
        <v>100</v>
      </c>
      <c r="F149" s="563">
        <f t="shared" si="73"/>
        <v>19.9203187250996</v>
      </c>
      <c r="G149" s="563">
        <f aca="true" t="shared" si="79" ref="G149:G154">H149+K149+L149+M149+N149+O149</f>
        <v>100</v>
      </c>
      <c r="H149" s="563">
        <f aca="true" t="shared" si="80" ref="H149:H154">SUM(I149:J149)</f>
        <v>0</v>
      </c>
      <c r="I149" s="563">
        <v>0</v>
      </c>
      <c r="J149" s="563">
        <v>0</v>
      </c>
      <c r="K149" s="563">
        <v>0</v>
      </c>
      <c r="L149" s="563">
        <v>100</v>
      </c>
      <c r="M149" s="563">
        <v>0</v>
      </c>
      <c r="N149" s="563">
        <v>0</v>
      </c>
      <c r="O149" s="563">
        <v>0</v>
      </c>
      <c r="P149" s="563">
        <f aca="true" t="shared" si="81" ref="P149:P154">Q149+S149</f>
        <v>0</v>
      </c>
      <c r="Q149" s="563">
        <v>0</v>
      </c>
      <c r="R149" s="564">
        <v>0</v>
      </c>
      <c r="S149" s="563">
        <v>0</v>
      </c>
    </row>
    <row r="150" spans="1:19" ht="13.5" customHeight="1">
      <c r="A150" s="561"/>
      <c r="B150" s="561"/>
      <c r="C150" s="562" t="s">
        <v>295</v>
      </c>
      <c r="D150" s="563">
        <v>261080</v>
      </c>
      <c r="E150" s="563">
        <f t="shared" si="78"/>
        <v>239887.56</v>
      </c>
      <c r="F150" s="563">
        <f t="shared" si="73"/>
        <v>91.88277922475869</v>
      </c>
      <c r="G150" s="563">
        <f t="shared" si="79"/>
        <v>239887.56</v>
      </c>
      <c r="H150" s="563">
        <f t="shared" si="80"/>
        <v>239887.56</v>
      </c>
      <c r="I150" s="563">
        <v>239887.56</v>
      </c>
      <c r="J150" s="563">
        <v>0</v>
      </c>
      <c r="K150" s="563">
        <v>0</v>
      </c>
      <c r="L150" s="563">
        <v>0</v>
      </c>
      <c r="M150" s="563">
        <v>0</v>
      </c>
      <c r="N150" s="563">
        <v>0</v>
      </c>
      <c r="O150" s="563">
        <v>0</v>
      </c>
      <c r="P150" s="563">
        <f t="shared" si="81"/>
        <v>0</v>
      </c>
      <c r="Q150" s="563">
        <v>0</v>
      </c>
      <c r="R150" s="564">
        <v>0</v>
      </c>
      <c r="S150" s="563">
        <v>0</v>
      </c>
    </row>
    <row r="151" spans="1:19" ht="13.5" customHeight="1">
      <c r="A151" s="561"/>
      <c r="B151" s="561"/>
      <c r="C151" s="562" t="s">
        <v>296</v>
      </c>
      <c r="D151" s="563">
        <v>26162</v>
      </c>
      <c r="E151" s="563">
        <f t="shared" si="78"/>
        <v>26114.72</v>
      </c>
      <c r="F151" s="563">
        <f>E151/D151*100</f>
        <v>99.81927987156945</v>
      </c>
      <c r="G151" s="563">
        <f t="shared" si="79"/>
        <v>26114.72</v>
      </c>
      <c r="H151" s="563">
        <f t="shared" si="80"/>
        <v>26114.72</v>
      </c>
      <c r="I151" s="563">
        <v>26114.72</v>
      </c>
      <c r="J151" s="563">
        <v>0</v>
      </c>
      <c r="K151" s="563">
        <v>0</v>
      </c>
      <c r="L151" s="563">
        <v>0</v>
      </c>
      <c r="M151" s="563">
        <v>0</v>
      </c>
      <c r="N151" s="563">
        <v>0</v>
      </c>
      <c r="O151" s="563">
        <v>0</v>
      </c>
      <c r="P151" s="563">
        <f t="shared" si="81"/>
        <v>0</v>
      </c>
      <c r="Q151" s="563">
        <v>0</v>
      </c>
      <c r="R151" s="564">
        <v>0</v>
      </c>
      <c r="S151" s="563">
        <v>0</v>
      </c>
    </row>
    <row r="152" spans="1:19" ht="13.5" customHeight="1">
      <c r="A152" s="561"/>
      <c r="B152" s="561"/>
      <c r="C152" s="562" t="s">
        <v>297</v>
      </c>
      <c r="D152" s="563">
        <v>50477</v>
      </c>
      <c r="E152" s="563">
        <f t="shared" si="78"/>
        <v>47401.99</v>
      </c>
      <c r="F152" s="563">
        <f t="shared" si="73"/>
        <v>93.9080967569388</v>
      </c>
      <c r="G152" s="563">
        <f t="shared" si="79"/>
        <v>47401.99</v>
      </c>
      <c r="H152" s="563">
        <f t="shared" si="80"/>
        <v>47401.99</v>
      </c>
      <c r="I152" s="563">
        <v>47401.99</v>
      </c>
      <c r="J152" s="563">
        <v>0</v>
      </c>
      <c r="K152" s="563">
        <v>0</v>
      </c>
      <c r="L152" s="563">
        <v>0</v>
      </c>
      <c r="M152" s="563">
        <v>0</v>
      </c>
      <c r="N152" s="563">
        <v>0</v>
      </c>
      <c r="O152" s="563">
        <v>0</v>
      </c>
      <c r="P152" s="563">
        <f t="shared" si="81"/>
        <v>0</v>
      </c>
      <c r="Q152" s="563">
        <v>0</v>
      </c>
      <c r="R152" s="564">
        <v>0</v>
      </c>
      <c r="S152" s="563">
        <v>0</v>
      </c>
    </row>
    <row r="153" spans="1:19" ht="13.5" customHeight="1">
      <c r="A153" s="561"/>
      <c r="B153" s="561"/>
      <c r="C153" s="562" t="s">
        <v>298</v>
      </c>
      <c r="D153" s="563">
        <v>8633</v>
      </c>
      <c r="E153" s="563">
        <f t="shared" si="78"/>
        <v>6620.37</v>
      </c>
      <c r="F153" s="563">
        <f t="shared" si="73"/>
        <v>76.68678327348546</v>
      </c>
      <c r="G153" s="563">
        <f t="shared" si="79"/>
        <v>6620.37</v>
      </c>
      <c r="H153" s="563">
        <f t="shared" si="80"/>
        <v>6620.37</v>
      </c>
      <c r="I153" s="563">
        <v>6620.37</v>
      </c>
      <c r="J153" s="563">
        <v>0</v>
      </c>
      <c r="K153" s="563">
        <v>0</v>
      </c>
      <c r="L153" s="563">
        <v>0</v>
      </c>
      <c r="M153" s="563">
        <v>0</v>
      </c>
      <c r="N153" s="563">
        <v>0</v>
      </c>
      <c r="O153" s="563">
        <v>0</v>
      </c>
      <c r="P153" s="563">
        <f t="shared" si="81"/>
        <v>0</v>
      </c>
      <c r="Q153" s="563">
        <v>0</v>
      </c>
      <c r="R153" s="564">
        <v>0</v>
      </c>
      <c r="S153" s="563">
        <v>0</v>
      </c>
    </row>
    <row r="154" spans="1:19" ht="13.5" customHeight="1">
      <c r="A154" s="561"/>
      <c r="B154" s="561"/>
      <c r="C154" s="562" t="s">
        <v>304</v>
      </c>
      <c r="D154" s="563">
        <v>17567</v>
      </c>
      <c r="E154" s="563">
        <f t="shared" si="78"/>
        <v>17567</v>
      </c>
      <c r="F154" s="563">
        <f t="shared" si="73"/>
        <v>100</v>
      </c>
      <c r="G154" s="563">
        <f t="shared" si="79"/>
        <v>17567</v>
      </c>
      <c r="H154" s="563">
        <f t="shared" si="80"/>
        <v>17567</v>
      </c>
      <c r="I154" s="563">
        <v>0</v>
      </c>
      <c r="J154" s="563">
        <v>17567</v>
      </c>
      <c r="K154" s="563">
        <v>0</v>
      </c>
      <c r="L154" s="563">
        <v>0</v>
      </c>
      <c r="M154" s="563">
        <v>0</v>
      </c>
      <c r="N154" s="563">
        <v>0</v>
      </c>
      <c r="O154" s="563">
        <v>0</v>
      </c>
      <c r="P154" s="563">
        <f t="shared" si="81"/>
        <v>0</v>
      </c>
      <c r="Q154" s="563">
        <v>0</v>
      </c>
      <c r="R154" s="564">
        <v>0</v>
      </c>
      <c r="S154" s="563">
        <v>0</v>
      </c>
    </row>
    <row r="155" spans="1:19" ht="13.5" customHeight="1">
      <c r="A155" s="561"/>
      <c r="B155" s="554" t="s">
        <v>347</v>
      </c>
      <c r="C155" s="554"/>
      <c r="D155" s="560">
        <f>SUM(D156:D160)</f>
        <v>1679729</v>
      </c>
      <c r="E155" s="560">
        <f>SUM(E156:E160)</f>
        <v>1667163.82</v>
      </c>
      <c r="F155" s="560">
        <f aca="true" t="shared" si="82" ref="F155:F160">E155/D155*100</f>
        <v>99.25195195177318</v>
      </c>
      <c r="G155" s="560">
        <f aca="true" t="shared" si="83" ref="G155:S155">SUM(G156:G160)</f>
        <v>1667163.82</v>
      </c>
      <c r="H155" s="560">
        <f t="shared" si="83"/>
        <v>1667163.82</v>
      </c>
      <c r="I155" s="560">
        <f t="shared" si="83"/>
        <v>1605551.25</v>
      </c>
      <c r="J155" s="560">
        <f t="shared" si="83"/>
        <v>61612.57</v>
      </c>
      <c r="K155" s="560">
        <f t="shared" si="83"/>
        <v>0</v>
      </c>
      <c r="L155" s="560">
        <f t="shared" si="83"/>
        <v>0</v>
      </c>
      <c r="M155" s="560">
        <f t="shared" si="83"/>
        <v>0</v>
      </c>
      <c r="N155" s="560">
        <f t="shared" si="83"/>
        <v>0</v>
      </c>
      <c r="O155" s="560">
        <f t="shared" si="83"/>
        <v>0</v>
      </c>
      <c r="P155" s="560">
        <f t="shared" si="83"/>
        <v>0</v>
      </c>
      <c r="Q155" s="560">
        <f t="shared" si="83"/>
        <v>0</v>
      </c>
      <c r="R155" s="560">
        <f t="shared" si="83"/>
        <v>0</v>
      </c>
      <c r="S155" s="560">
        <f t="shared" si="83"/>
        <v>0</v>
      </c>
    </row>
    <row r="156" spans="1:19" ht="13.5" customHeight="1">
      <c r="A156" s="561"/>
      <c r="B156" s="561"/>
      <c r="C156" s="562" t="s">
        <v>295</v>
      </c>
      <c r="D156" s="563">
        <v>1236941</v>
      </c>
      <c r="E156" s="563">
        <f>G156+P156</f>
        <v>1229787.29</v>
      </c>
      <c r="F156" s="563">
        <f t="shared" si="82"/>
        <v>99.42166117866576</v>
      </c>
      <c r="G156" s="563">
        <f>H156+K156+L156+M156+N156+O156</f>
        <v>1229787.29</v>
      </c>
      <c r="H156" s="563">
        <f>SUM(I156:J156)</f>
        <v>1229787.29</v>
      </c>
      <c r="I156" s="563">
        <v>1229787.29</v>
      </c>
      <c r="J156" s="563">
        <v>0</v>
      </c>
      <c r="K156" s="563">
        <v>0</v>
      </c>
      <c r="L156" s="563">
        <v>0</v>
      </c>
      <c r="M156" s="563">
        <v>0</v>
      </c>
      <c r="N156" s="563">
        <v>0</v>
      </c>
      <c r="O156" s="563">
        <v>0</v>
      </c>
      <c r="P156" s="563">
        <f>Q156+S156</f>
        <v>0</v>
      </c>
      <c r="Q156" s="563">
        <v>0</v>
      </c>
      <c r="R156" s="564">
        <v>0</v>
      </c>
      <c r="S156" s="563">
        <v>0</v>
      </c>
    </row>
    <row r="157" spans="1:19" ht="13.5" customHeight="1">
      <c r="A157" s="561"/>
      <c r="B157" s="561"/>
      <c r="C157" s="562" t="s">
        <v>296</v>
      </c>
      <c r="D157" s="563">
        <v>107144</v>
      </c>
      <c r="E157" s="563">
        <f>G157+P157</f>
        <v>107142.67</v>
      </c>
      <c r="F157" s="563">
        <f t="shared" si="82"/>
        <v>99.99875867990741</v>
      </c>
      <c r="G157" s="563">
        <f>H157+K157+L157+M157+N157+O157</f>
        <v>107142.67</v>
      </c>
      <c r="H157" s="563">
        <f>SUM(I157:J157)</f>
        <v>107142.67</v>
      </c>
      <c r="I157" s="563">
        <v>107142.67</v>
      </c>
      <c r="J157" s="563">
        <v>0</v>
      </c>
      <c r="K157" s="563">
        <v>0</v>
      </c>
      <c r="L157" s="563">
        <v>0</v>
      </c>
      <c r="M157" s="563">
        <v>0</v>
      </c>
      <c r="N157" s="563">
        <v>0</v>
      </c>
      <c r="O157" s="563">
        <v>0</v>
      </c>
      <c r="P157" s="563">
        <f>Q157+S157</f>
        <v>0</v>
      </c>
      <c r="Q157" s="563">
        <v>0</v>
      </c>
      <c r="R157" s="564">
        <v>0</v>
      </c>
      <c r="S157" s="563">
        <v>0</v>
      </c>
    </row>
    <row r="158" spans="1:19" ht="13.5" customHeight="1">
      <c r="A158" s="561"/>
      <c r="B158" s="561"/>
      <c r="C158" s="562" t="s">
        <v>297</v>
      </c>
      <c r="D158" s="563">
        <v>240195</v>
      </c>
      <c r="E158" s="563">
        <f>G158+P158</f>
        <v>237639.26</v>
      </c>
      <c r="F158" s="563">
        <f t="shared" si="82"/>
        <v>98.93597285538833</v>
      </c>
      <c r="G158" s="563">
        <f>H158+K158+L158+M158+N158+O158</f>
        <v>237639.26</v>
      </c>
      <c r="H158" s="563">
        <f>SUM(I158:J158)</f>
        <v>237639.26</v>
      </c>
      <c r="I158" s="563">
        <v>237639.26</v>
      </c>
      <c r="J158" s="563">
        <v>0</v>
      </c>
      <c r="K158" s="563">
        <v>0</v>
      </c>
      <c r="L158" s="563">
        <v>0</v>
      </c>
      <c r="M158" s="563">
        <v>0</v>
      </c>
      <c r="N158" s="563">
        <v>0</v>
      </c>
      <c r="O158" s="563">
        <v>0</v>
      </c>
      <c r="P158" s="563">
        <f>Q158+S158</f>
        <v>0</v>
      </c>
      <c r="Q158" s="563">
        <v>0</v>
      </c>
      <c r="R158" s="564">
        <v>0</v>
      </c>
      <c r="S158" s="563">
        <v>0</v>
      </c>
    </row>
    <row r="159" spans="1:19" ht="13.5" customHeight="1">
      <c r="A159" s="561"/>
      <c r="B159" s="561"/>
      <c r="C159" s="562" t="s">
        <v>298</v>
      </c>
      <c r="D159" s="563">
        <v>33231</v>
      </c>
      <c r="E159" s="563">
        <f>G159+P159</f>
        <v>30982.03</v>
      </c>
      <c r="F159" s="563">
        <f t="shared" si="82"/>
        <v>93.2323132015287</v>
      </c>
      <c r="G159" s="563">
        <f>H159+K159+L159+M159+N159+O159</f>
        <v>30982.03</v>
      </c>
      <c r="H159" s="563">
        <f>SUM(I159:J159)</f>
        <v>30982.03</v>
      </c>
      <c r="I159" s="563">
        <v>30982.03</v>
      </c>
      <c r="J159" s="563">
        <v>0</v>
      </c>
      <c r="K159" s="563">
        <v>0</v>
      </c>
      <c r="L159" s="563">
        <v>0</v>
      </c>
      <c r="M159" s="563">
        <v>0</v>
      </c>
      <c r="N159" s="563">
        <v>0</v>
      </c>
      <c r="O159" s="563">
        <v>0</v>
      </c>
      <c r="P159" s="563">
        <f>Q159+S159</f>
        <v>0</v>
      </c>
      <c r="Q159" s="563">
        <v>0</v>
      </c>
      <c r="R159" s="564">
        <v>0</v>
      </c>
      <c r="S159" s="563">
        <v>0</v>
      </c>
    </row>
    <row r="160" spans="1:19" ht="13.5" customHeight="1">
      <c r="A160" s="561"/>
      <c r="B160" s="561"/>
      <c r="C160" s="562" t="s">
        <v>304</v>
      </c>
      <c r="D160" s="563">
        <v>62218</v>
      </c>
      <c r="E160" s="563">
        <f>G160+P160</f>
        <v>61612.57</v>
      </c>
      <c r="F160" s="563">
        <f t="shared" si="82"/>
        <v>99.02692146967115</v>
      </c>
      <c r="G160" s="563">
        <f>H160+K160+L160+M160+N160+O160</f>
        <v>61612.57</v>
      </c>
      <c r="H160" s="563">
        <f>SUM(I160:J160)</f>
        <v>61612.57</v>
      </c>
      <c r="I160" s="563">
        <v>0</v>
      </c>
      <c r="J160" s="563">
        <v>61612.57</v>
      </c>
      <c r="K160" s="563">
        <v>0</v>
      </c>
      <c r="L160" s="563">
        <v>0</v>
      </c>
      <c r="M160" s="563">
        <v>0</v>
      </c>
      <c r="N160" s="563">
        <v>0</v>
      </c>
      <c r="O160" s="563">
        <v>0</v>
      </c>
      <c r="P160" s="563">
        <f>Q160+S160</f>
        <v>0</v>
      </c>
      <c r="Q160" s="563">
        <v>0</v>
      </c>
      <c r="R160" s="564">
        <v>0</v>
      </c>
      <c r="S160" s="563">
        <v>0</v>
      </c>
    </row>
    <row r="161" spans="1:19" ht="13.5" customHeight="1">
      <c r="A161" s="561"/>
      <c r="B161" s="554" t="s">
        <v>55</v>
      </c>
      <c r="C161" s="554"/>
      <c r="D161" s="560">
        <f>SUM(D162:D181)</f>
        <v>6101020</v>
      </c>
      <c r="E161" s="560">
        <f>SUM(E162:E181)</f>
        <v>5800344.070000001</v>
      </c>
      <c r="F161" s="560">
        <f aca="true" t="shared" si="84" ref="F161:F181">E161/D161*100</f>
        <v>95.07171046808568</v>
      </c>
      <c r="G161" s="560">
        <f aca="true" t="shared" si="85" ref="G161:S161">SUM(G162:G181)</f>
        <v>5800344.070000001</v>
      </c>
      <c r="H161" s="560">
        <f t="shared" si="85"/>
        <v>5445729.050000001</v>
      </c>
      <c r="I161" s="560">
        <f t="shared" si="85"/>
        <v>4770540.18</v>
      </c>
      <c r="J161" s="560">
        <f t="shared" si="85"/>
        <v>675188.8700000001</v>
      </c>
      <c r="K161" s="560">
        <f t="shared" si="85"/>
        <v>334347</v>
      </c>
      <c r="L161" s="560">
        <f t="shared" si="85"/>
        <v>20268.02</v>
      </c>
      <c r="M161" s="560">
        <f t="shared" si="85"/>
        <v>0</v>
      </c>
      <c r="N161" s="560">
        <f t="shared" si="85"/>
        <v>0</v>
      </c>
      <c r="O161" s="560">
        <f t="shared" si="85"/>
        <v>0</v>
      </c>
      <c r="P161" s="560">
        <f t="shared" si="85"/>
        <v>0</v>
      </c>
      <c r="Q161" s="560">
        <f t="shared" si="85"/>
        <v>0</v>
      </c>
      <c r="R161" s="560">
        <f t="shared" si="85"/>
        <v>0</v>
      </c>
      <c r="S161" s="560">
        <f t="shared" si="85"/>
        <v>0</v>
      </c>
    </row>
    <row r="162" spans="1:19" ht="13.5" customHeight="1">
      <c r="A162" s="561"/>
      <c r="B162" s="561"/>
      <c r="C162" s="562" t="s">
        <v>228</v>
      </c>
      <c r="D162" s="563">
        <v>559080</v>
      </c>
      <c r="E162" s="563">
        <f>G162+P162</f>
        <v>334347</v>
      </c>
      <c r="F162" s="563">
        <f t="shared" si="84"/>
        <v>59.80306932818201</v>
      </c>
      <c r="G162" s="563">
        <f>H162+K162+L162+M162+N162+O162</f>
        <v>334347</v>
      </c>
      <c r="H162" s="563">
        <f>SUM(I162:J162)</f>
        <v>0</v>
      </c>
      <c r="I162" s="563">
        <v>0</v>
      </c>
      <c r="J162" s="563">
        <v>0</v>
      </c>
      <c r="K162" s="563">
        <f>340872-6525</f>
        <v>334347</v>
      </c>
      <c r="L162" s="563">
        <v>0</v>
      </c>
      <c r="M162" s="563">
        <v>0</v>
      </c>
      <c r="N162" s="563">
        <v>0</v>
      </c>
      <c r="O162" s="563">
        <v>0</v>
      </c>
      <c r="P162" s="563">
        <f>Q162+S162</f>
        <v>0</v>
      </c>
      <c r="Q162" s="563">
        <v>0</v>
      </c>
      <c r="R162" s="564">
        <v>0</v>
      </c>
      <c r="S162" s="563">
        <v>0</v>
      </c>
    </row>
    <row r="163" spans="1:19" ht="13.5" customHeight="1">
      <c r="A163" s="561"/>
      <c r="B163" s="561"/>
      <c r="C163" s="562" t="s">
        <v>307</v>
      </c>
      <c r="D163" s="563">
        <v>20796</v>
      </c>
      <c r="E163" s="563">
        <f aca="true" t="shared" si="86" ref="E163:E181">G163+P163</f>
        <v>20268.02</v>
      </c>
      <c r="F163" s="563">
        <f t="shared" si="84"/>
        <v>97.46114637430276</v>
      </c>
      <c r="G163" s="563">
        <f aca="true" t="shared" si="87" ref="G163:G181">H163+K163+L163+M163+N163+O163</f>
        <v>20268.02</v>
      </c>
      <c r="H163" s="563">
        <f aca="true" t="shared" si="88" ref="H163:H181">SUM(I163:J163)</f>
        <v>0</v>
      </c>
      <c r="I163" s="563">
        <v>0</v>
      </c>
      <c r="J163" s="563">
        <v>0</v>
      </c>
      <c r="K163" s="563">
        <v>0</v>
      </c>
      <c r="L163" s="563">
        <v>20268.02</v>
      </c>
      <c r="M163" s="563">
        <v>0</v>
      </c>
      <c r="N163" s="563">
        <v>0</v>
      </c>
      <c r="O163" s="563">
        <v>0</v>
      </c>
      <c r="P163" s="563">
        <f aca="true" t="shared" si="89" ref="P163:P181">Q163+S163</f>
        <v>0</v>
      </c>
      <c r="Q163" s="563">
        <v>0</v>
      </c>
      <c r="R163" s="564">
        <v>0</v>
      </c>
      <c r="S163" s="563">
        <v>0</v>
      </c>
    </row>
    <row r="164" spans="1:19" ht="13.5" customHeight="1">
      <c r="A164" s="561"/>
      <c r="B164" s="561"/>
      <c r="C164" s="562" t="s">
        <v>295</v>
      </c>
      <c r="D164" s="563">
        <v>3764836</v>
      </c>
      <c r="E164" s="563">
        <f t="shared" si="86"/>
        <v>3720877.13</v>
      </c>
      <c r="F164" s="563">
        <f t="shared" si="84"/>
        <v>98.832382871392</v>
      </c>
      <c r="G164" s="563">
        <f t="shared" si="87"/>
        <v>3720877.13</v>
      </c>
      <c r="H164" s="563">
        <f t="shared" si="88"/>
        <v>3720877.13</v>
      </c>
      <c r="I164" s="563">
        <v>3720877.13</v>
      </c>
      <c r="J164" s="563">
        <v>0</v>
      </c>
      <c r="K164" s="563">
        <v>0</v>
      </c>
      <c r="L164" s="563">
        <v>0</v>
      </c>
      <c r="M164" s="563">
        <v>0</v>
      </c>
      <c r="N164" s="563">
        <v>0</v>
      </c>
      <c r="O164" s="563">
        <v>0</v>
      </c>
      <c r="P164" s="563">
        <f t="shared" si="89"/>
        <v>0</v>
      </c>
      <c r="Q164" s="563">
        <v>0</v>
      </c>
      <c r="R164" s="564">
        <v>0</v>
      </c>
      <c r="S164" s="563">
        <v>0</v>
      </c>
    </row>
    <row r="165" spans="1:19" ht="13.5" customHeight="1">
      <c r="A165" s="561"/>
      <c r="B165" s="561"/>
      <c r="C165" s="562" t="s">
        <v>296</v>
      </c>
      <c r="D165" s="563">
        <v>298143</v>
      </c>
      <c r="E165" s="563">
        <f t="shared" si="86"/>
        <v>297698.81</v>
      </c>
      <c r="F165" s="563">
        <f t="shared" si="84"/>
        <v>99.85101444608794</v>
      </c>
      <c r="G165" s="563">
        <f t="shared" si="87"/>
        <v>297698.81</v>
      </c>
      <c r="H165" s="563">
        <f t="shared" si="88"/>
        <v>297698.81</v>
      </c>
      <c r="I165" s="563">
        <v>297698.81</v>
      </c>
      <c r="J165" s="563">
        <v>0</v>
      </c>
      <c r="K165" s="563">
        <v>0</v>
      </c>
      <c r="L165" s="563">
        <v>0</v>
      </c>
      <c r="M165" s="563">
        <v>0</v>
      </c>
      <c r="N165" s="563">
        <v>0</v>
      </c>
      <c r="O165" s="563">
        <v>0</v>
      </c>
      <c r="P165" s="563">
        <f t="shared" si="89"/>
        <v>0</v>
      </c>
      <c r="Q165" s="563">
        <v>0</v>
      </c>
      <c r="R165" s="564">
        <v>0</v>
      </c>
      <c r="S165" s="563">
        <v>0</v>
      </c>
    </row>
    <row r="166" spans="1:19" ht="13.5" customHeight="1">
      <c r="A166" s="561"/>
      <c r="B166" s="561"/>
      <c r="C166" s="562" t="s">
        <v>297</v>
      </c>
      <c r="D166" s="563">
        <v>678312</v>
      </c>
      <c r="E166" s="563">
        <f t="shared" si="86"/>
        <v>655744.16</v>
      </c>
      <c r="F166" s="563">
        <f t="shared" si="84"/>
        <v>96.6729410654684</v>
      </c>
      <c r="G166" s="563">
        <f t="shared" si="87"/>
        <v>655744.16</v>
      </c>
      <c r="H166" s="563">
        <f t="shared" si="88"/>
        <v>655744.16</v>
      </c>
      <c r="I166" s="563">
        <v>655744.16</v>
      </c>
      <c r="J166" s="563">
        <v>0</v>
      </c>
      <c r="K166" s="563">
        <v>0</v>
      </c>
      <c r="L166" s="563">
        <v>0</v>
      </c>
      <c r="M166" s="563">
        <v>0</v>
      </c>
      <c r="N166" s="563">
        <v>0</v>
      </c>
      <c r="O166" s="563">
        <v>0</v>
      </c>
      <c r="P166" s="563">
        <f t="shared" si="89"/>
        <v>0</v>
      </c>
      <c r="Q166" s="563">
        <v>0</v>
      </c>
      <c r="R166" s="564">
        <v>0</v>
      </c>
      <c r="S166" s="563">
        <v>0</v>
      </c>
    </row>
    <row r="167" spans="1:19" ht="13.5" customHeight="1">
      <c r="A167" s="561"/>
      <c r="B167" s="561"/>
      <c r="C167" s="562" t="s">
        <v>298</v>
      </c>
      <c r="D167" s="563">
        <v>92568</v>
      </c>
      <c r="E167" s="563">
        <f t="shared" si="86"/>
        <v>89157.65</v>
      </c>
      <c r="F167" s="563">
        <f t="shared" si="84"/>
        <v>96.31584348803042</v>
      </c>
      <c r="G167" s="563">
        <f t="shared" si="87"/>
        <v>89157.65</v>
      </c>
      <c r="H167" s="563">
        <f t="shared" si="88"/>
        <v>89157.65</v>
      </c>
      <c r="I167" s="563">
        <v>89157.65</v>
      </c>
      <c r="J167" s="563">
        <v>0</v>
      </c>
      <c r="K167" s="563">
        <v>0</v>
      </c>
      <c r="L167" s="563">
        <v>0</v>
      </c>
      <c r="M167" s="563">
        <v>0</v>
      </c>
      <c r="N167" s="563">
        <v>0</v>
      </c>
      <c r="O167" s="563">
        <v>0</v>
      </c>
      <c r="P167" s="563">
        <f t="shared" si="89"/>
        <v>0</v>
      </c>
      <c r="Q167" s="563">
        <v>0</v>
      </c>
      <c r="R167" s="564">
        <v>0</v>
      </c>
      <c r="S167" s="563">
        <v>0</v>
      </c>
    </row>
    <row r="168" spans="1:19" ht="13.5" customHeight="1">
      <c r="A168" s="561"/>
      <c r="B168" s="561"/>
      <c r="C168" s="562" t="s">
        <v>305</v>
      </c>
      <c r="D168" s="563">
        <v>7160</v>
      </c>
      <c r="E168" s="563">
        <f t="shared" si="86"/>
        <v>7062.43</v>
      </c>
      <c r="F168" s="563">
        <f t="shared" si="84"/>
        <v>98.63729050279329</v>
      </c>
      <c r="G168" s="563">
        <f t="shared" si="87"/>
        <v>7062.43</v>
      </c>
      <c r="H168" s="563">
        <f t="shared" si="88"/>
        <v>7062.43</v>
      </c>
      <c r="I168" s="563">
        <v>7062.43</v>
      </c>
      <c r="J168" s="563">
        <v>0</v>
      </c>
      <c r="K168" s="563">
        <v>0</v>
      </c>
      <c r="L168" s="563">
        <v>0</v>
      </c>
      <c r="M168" s="563">
        <v>0</v>
      </c>
      <c r="N168" s="563">
        <v>0</v>
      </c>
      <c r="O168" s="563">
        <v>0</v>
      </c>
      <c r="P168" s="563">
        <f t="shared" si="89"/>
        <v>0</v>
      </c>
      <c r="Q168" s="563">
        <v>0</v>
      </c>
      <c r="R168" s="564">
        <v>0</v>
      </c>
      <c r="S168" s="563">
        <v>0</v>
      </c>
    </row>
    <row r="169" spans="1:19" ht="13.5" customHeight="1">
      <c r="A169" s="561"/>
      <c r="B169" s="561"/>
      <c r="C169" s="562" t="s">
        <v>123</v>
      </c>
      <c r="D169" s="563">
        <v>95519</v>
      </c>
      <c r="E169" s="563">
        <f t="shared" si="86"/>
        <v>95470.28</v>
      </c>
      <c r="F169" s="563">
        <f t="shared" si="84"/>
        <v>99.94899444089657</v>
      </c>
      <c r="G169" s="563">
        <f t="shared" si="87"/>
        <v>95470.28</v>
      </c>
      <c r="H169" s="563">
        <f t="shared" si="88"/>
        <v>95470.28</v>
      </c>
      <c r="I169" s="563">
        <v>0</v>
      </c>
      <c r="J169" s="563">
        <v>95470.28</v>
      </c>
      <c r="K169" s="563">
        <v>0</v>
      </c>
      <c r="L169" s="563">
        <v>0</v>
      </c>
      <c r="M169" s="563">
        <v>0</v>
      </c>
      <c r="N169" s="563">
        <v>0</v>
      </c>
      <c r="O169" s="563">
        <v>0</v>
      </c>
      <c r="P169" s="563">
        <f t="shared" si="89"/>
        <v>0</v>
      </c>
      <c r="Q169" s="563">
        <v>0</v>
      </c>
      <c r="R169" s="564">
        <v>0</v>
      </c>
      <c r="S169" s="563">
        <v>0</v>
      </c>
    </row>
    <row r="170" spans="1:19" ht="13.5" customHeight="1">
      <c r="A170" s="561"/>
      <c r="B170" s="561"/>
      <c r="C170" s="562" t="s">
        <v>331</v>
      </c>
      <c r="D170" s="563">
        <v>12373</v>
      </c>
      <c r="E170" s="563">
        <f t="shared" si="86"/>
        <v>12255.76</v>
      </c>
      <c r="F170" s="563">
        <f t="shared" si="84"/>
        <v>99.05245292168432</v>
      </c>
      <c r="G170" s="563">
        <f t="shared" si="87"/>
        <v>12255.76</v>
      </c>
      <c r="H170" s="563">
        <f t="shared" si="88"/>
        <v>12255.76</v>
      </c>
      <c r="I170" s="563">
        <v>0</v>
      </c>
      <c r="J170" s="563">
        <v>12255.76</v>
      </c>
      <c r="K170" s="563">
        <v>0</v>
      </c>
      <c r="L170" s="563">
        <v>0</v>
      </c>
      <c r="M170" s="563">
        <v>0</v>
      </c>
      <c r="N170" s="563">
        <v>0</v>
      </c>
      <c r="O170" s="563">
        <v>0</v>
      </c>
      <c r="P170" s="563">
        <f t="shared" si="89"/>
        <v>0</v>
      </c>
      <c r="Q170" s="563">
        <v>0</v>
      </c>
      <c r="R170" s="564">
        <v>0</v>
      </c>
      <c r="S170" s="563">
        <v>0</v>
      </c>
    </row>
    <row r="171" spans="1:19" ht="13.5" customHeight="1">
      <c r="A171" s="561"/>
      <c r="B171" s="561"/>
      <c r="C171" s="562" t="s">
        <v>315</v>
      </c>
      <c r="D171" s="563">
        <v>241939</v>
      </c>
      <c r="E171" s="563">
        <f t="shared" si="86"/>
        <v>241778.13</v>
      </c>
      <c r="F171" s="563">
        <f t="shared" si="84"/>
        <v>99.9335080330166</v>
      </c>
      <c r="G171" s="563">
        <f t="shared" si="87"/>
        <v>241778.13</v>
      </c>
      <c r="H171" s="563">
        <f t="shared" si="88"/>
        <v>241778.13</v>
      </c>
      <c r="I171" s="563">
        <v>0</v>
      </c>
      <c r="J171" s="563">
        <v>241778.13</v>
      </c>
      <c r="K171" s="563">
        <v>0</v>
      </c>
      <c r="L171" s="563">
        <v>0</v>
      </c>
      <c r="M171" s="563">
        <v>0</v>
      </c>
      <c r="N171" s="563">
        <v>0</v>
      </c>
      <c r="O171" s="563">
        <v>0</v>
      </c>
      <c r="P171" s="563">
        <f t="shared" si="89"/>
        <v>0</v>
      </c>
      <c r="Q171" s="563">
        <v>0</v>
      </c>
      <c r="R171" s="564">
        <v>0</v>
      </c>
      <c r="S171" s="563">
        <v>0</v>
      </c>
    </row>
    <row r="172" spans="1:19" ht="13.5" customHeight="1">
      <c r="A172" s="561"/>
      <c r="B172" s="561"/>
      <c r="C172" s="562" t="s">
        <v>124</v>
      </c>
      <c r="D172" s="563">
        <v>29850</v>
      </c>
      <c r="E172" s="563">
        <f t="shared" si="86"/>
        <v>29838.65</v>
      </c>
      <c r="F172" s="563">
        <f t="shared" si="84"/>
        <v>99.96197654941375</v>
      </c>
      <c r="G172" s="563">
        <f t="shared" si="87"/>
        <v>29838.65</v>
      </c>
      <c r="H172" s="563">
        <f t="shared" si="88"/>
        <v>29838.65</v>
      </c>
      <c r="I172" s="563">
        <v>0</v>
      </c>
      <c r="J172" s="563">
        <v>29838.65</v>
      </c>
      <c r="K172" s="563">
        <v>0</v>
      </c>
      <c r="L172" s="563">
        <v>0</v>
      </c>
      <c r="M172" s="563">
        <v>0</v>
      </c>
      <c r="N172" s="563">
        <v>0</v>
      </c>
      <c r="O172" s="563">
        <v>0</v>
      </c>
      <c r="P172" s="563">
        <f t="shared" si="89"/>
        <v>0</v>
      </c>
      <c r="Q172" s="563">
        <v>0</v>
      </c>
      <c r="R172" s="564">
        <v>0</v>
      </c>
      <c r="S172" s="563">
        <v>0</v>
      </c>
    </row>
    <row r="173" spans="1:19" ht="13.5" customHeight="1">
      <c r="A173" s="561"/>
      <c r="B173" s="561"/>
      <c r="C173" s="562" t="s">
        <v>306</v>
      </c>
      <c r="D173" s="563">
        <v>2885</v>
      </c>
      <c r="E173" s="563">
        <f t="shared" si="86"/>
        <v>2369</v>
      </c>
      <c r="F173" s="563">
        <f t="shared" si="84"/>
        <v>82.11438474870018</v>
      </c>
      <c r="G173" s="563">
        <f t="shared" si="87"/>
        <v>2369</v>
      </c>
      <c r="H173" s="563">
        <f t="shared" si="88"/>
        <v>2369</v>
      </c>
      <c r="I173" s="563">
        <v>0</v>
      </c>
      <c r="J173" s="563">
        <v>2369</v>
      </c>
      <c r="K173" s="563">
        <v>0</v>
      </c>
      <c r="L173" s="563">
        <v>0</v>
      </c>
      <c r="M173" s="563">
        <v>0</v>
      </c>
      <c r="N173" s="563">
        <v>0</v>
      </c>
      <c r="O173" s="563">
        <v>0</v>
      </c>
      <c r="P173" s="563">
        <f t="shared" si="89"/>
        <v>0</v>
      </c>
      <c r="Q173" s="563">
        <v>0</v>
      </c>
      <c r="R173" s="564">
        <v>0</v>
      </c>
      <c r="S173" s="563">
        <v>0</v>
      </c>
    </row>
    <row r="174" spans="1:19" ht="13.5" customHeight="1">
      <c r="A174" s="561"/>
      <c r="B174" s="561"/>
      <c r="C174" s="562" t="s">
        <v>125</v>
      </c>
      <c r="D174" s="563">
        <v>53573</v>
      </c>
      <c r="E174" s="563">
        <f t="shared" si="86"/>
        <v>51782.76</v>
      </c>
      <c r="F174" s="563">
        <f t="shared" si="84"/>
        <v>96.65831668937712</v>
      </c>
      <c r="G174" s="563">
        <f t="shared" si="87"/>
        <v>51782.76</v>
      </c>
      <c r="H174" s="563">
        <f t="shared" si="88"/>
        <v>51782.76</v>
      </c>
      <c r="I174" s="563">
        <v>0</v>
      </c>
      <c r="J174" s="563">
        <v>51782.76</v>
      </c>
      <c r="K174" s="563">
        <v>0</v>
      </c>
      <c r="L174" s="563">
        <v>0</v>
      </c>
      <c r="M174" s="563">
        <v>0</v>
      </c>
      <c r="N174" s="563">
        <v>0</v>
      </c>
      <c r="O174" s="563">
        <v>0</v>
      </c>
      <c r="P174" s="563">
        <f t="shared" si="89"/>
        <v>0</v>
      </c>
      <c r="Q174" s="563">
        <v>0</v>
      </c>
      <c r="R174" s="564">
        <v>0</v>
      </c>
      <c r="S174" s="563">
        <v>0</v>
      </c>
    </row>
    <row r="175" spans="1:19" ht="13.5" customHeight="1">
      <c r="A175" s="561"/>
      <c r="B175" s="561"/>
      <c r="C175" s="562" t="s">
        <v>300</v>
      </c>
      <c r="D175" s="563">
        <v>11372</v>
      </c>
      <c r="E175" s="563">
        <f t="shared" si="86"/>
        <v>10523.15</v>
      </c>
      <c r="F175" s="563">
        <f t="shared" si="84"/>
        <v>92.53561378825185</v>
      </c>
      <c r="G175" s="563">
        <f t="shared" si="87"/>
        <v>10523.15</v>
      </c>
      <c r="H175" s="563">
        <f t="shared" si="88"/>
        <v>10523.15</v>
      </c>
      <c r="I175" s="563">
        <v>0</v>
      </c>
      <c r="J175" s="563">
        <v>10523.15</v>
      </c>
      <c r="K175" s="563">
        <v>0</v>
      </c>
      <c r="L175" s="563">
        <v>0</v>
      </c>
      <c r="M175" s="563">
        <v>0</v>
      </c>
      <c r="N175" s="563">
        <v>0</v>
      </c>
      <c r="O175" s="563">
        <v>0</v>
      </c>
      <c r="P175" s="563">
        <f t="shared" si="89"/>
        <v>0</v>
      </c>
      <c r="Q175" s="563">
        <v>0</v>
      </c>
      <c r="R175" s="564">
        <v>0</v>
      </c>
      <c r="S175" s="563">
        <v>0</v>
      </c>
    </row>
    <row r="176" spans="1:19" ht="13.5" customHeight="1">
      <c r="A176" s="561"/>
      <c r="B176" s="561"/>
      <c r="C176" s="562" t="s">
        <v>302</v>
      </c>
      <c r="D176" s="563">
        <v>7907</v>
      </c>
      <c r="E176" s="563">
        <f t="shared" si="86"/>
        <v>7645.94</v>
      </c>
      <c r="F176" s="563">
        <f t="shared" si="84"/>
        <v>96.69836853421019</v>
      </c>
      <c r="G176" s="563">
        <f t="shared" si="87"/>
        <v>7645.94</v>
      </c>
      <c r="H176" s="563">
        <f t="shared" si="88"/>
        <v>7645.94</v>
      </c>
      <c r="I176" s="563">
        <v>0</v>
      </c>
      <c r="J176" s="563">
        <v>7645.94</v>
      </c>
      <c r="K176" s="563">
        <v>0</v>
      </c>
      <c r="L176" s="563">
        <v>0</v>
      </c>
      <c r="M176" s="563">
        <v>0</v>
      </c>
      <c r="N176" s="563">
        <v>0</v>
      </c>
      <c r="O176" s="563">
        <v>0</v>
      </c>
      <c r="P176" s="563">
        <f t="shared" si="89"/>
        <v>0</v>
      </c>
      <c r="Q176" s="563">
        <v>0</v>
      </c>
      <c r="R176" s="564">
        <v>0</v>
      </c>
      <c r="S176" s="563">
        <v>0</v>
      </c>
    </row>
    <row r="177" spans="1:19" ht="13.5" customHeight="1">
      <c r="A177" s="561"/>
      <c r="B177" s="561"/>
      <c r="C177" s="562" t="s">
        <v>303</v>
      </c>
      <c r="D177" s="563">
        <v>8746</v>
      </c>
      <c r="E177" s="563">
        <f t="shared" si="86"/>
        <v>8743.2</v>
      </c>
      <c r="F177" s="563">
        <f t="shared" si="84"/>
        <v>99.96798536473818</v>
      </c>
      <c r="G177" s="563">
        <f t="shared" si="87"/>
        <v>8743.2</v>
      </c>
      <c r="H177" s="563">
        <f t="shared" si="88"/>
        <v>8743.2</v>
      </c>
      <c r="I177" s="563">
        <v>0</v>
      </c>
      <c r="J177" s="563">
        <v>8743.2</v>
      </c>
      <c r="K177" s="563">
        <v>0</v>
      </c>
      <c r="L177" s="563">
        <v>0</v>
      </c>
      <c r="M177" s="563">
        <v>0</v>
      </c>
      <c r="N177" s="563">
        <v>0</v>
      </c>
      <c r="O177" s="563">
        <v>0</v>
      </c>
      <c r="P177" s="563">
        <f t="shared" si="89"/>
        <v>0</v>
      </c>
      <c r="Q177" s="563">
        <v>0</v>
      </c>
      <c r="R177" s="564">
        <v>0</v>
      </c>
      <c r="S177" s="563">
        <v>0</v>
      </c>
    </row>
    <row r="178" spans="1:19" ht="13.5" customHeight="1">
      <c r="A178" s="561"/>
      <c r="B178" s="561"/>
      <c r="C178" s="562" t="s">
        <v>304</v>
      </c>
      <c r="D178" s="563">
        <v>207777</v>
      </c>
      <c r="E178" s="563">
        <f t="shared" si="86"/>
        <v>207777</v>
      </c>
      <c r="F178" s="563">
        <f t="shared" si="84"/>
        <v>100</v>
      </c>
      <c r="G178" s="563">
        <f t="shared" si="87"/>
        <v>207777</v>
      </c>
      <c r="H178" s="563">
        <f t="shared" si="88"/>
        <v>207777</v>
      </c>
      <c r="I178" s="563">
        <v>0</v>
      </c>
      <c r="J178" s="563">
        <v>207777</v>
      </c>
      <c r="K178" s="563">
        <v>0</v>
      </c>
      <c r="L178" s="563">
        <v>0</v>
      </c>
      <c r="M178" s="563">
        <v>0</v>
      </c>
      <c r="N178" s="563">
        <v>0</v>
      </c>
      <c r="O178" s="563">
        <v>0</v>
      </c>
      <c r="P178" s="563">
        <f t="shared" si="89"/>
        <v>0</v>
      </c>
      <c r="Q178" s="563">
        <v>0</v>
      </c>
      <c r="R178" s="564">
        <v>0</v>
      </c>
      <c r="S178" s="563">
        <v>0</v>
      </c>
    </row>
    <row r="179" spans="1:19" ht="13.5" customHeight="1">
      <c r="A179" s="561"/>
      <c r="B179" s="561"/>
      <c r="C179" s="562" t="s">
        <v>319</v>
      </c>
      <c r="D179" s="563">
        <v>5184</v>
      </c>
      <c r="E179" s="563">
        <f>G179+P179</f>
        <v>5175</v>
      </c>
      <c r="F179" s="563">
        <f>E179/D179*100</f>
        <v>99.82638888888889</v>
      </c>
      <c r="G179" s="563">
        <f>H179+K179+L179+M179+N179+O179</f>
        <v>5175</v>
      </c>
      <c r="H179" s="563">
        <f>SUM(I179:J179)</f>
        <v>5175</v>
      </c>
      <c r="I179" s="563">
        <v>0</v>
      </c>
      <c r="J179" s="563">
        <v>5175</v>
      </c>
      <c r="K179" s="563">
        <v>0</v>
      </c>
      <c r="L179" s="563">
        <v>0</v>
      </c>
      <c r="M179" s="563">
        <v>0</v>
      </c>
      <c r="N179" s="563">
        <v>0</v>
      </c>
      <c r="O179" s="563">
        <v>0</v>
      </c>
      <c r="P179" s="563">
        <f>Q179+S179</f>
        <v>0</v>
      </c>
      <c r="Q179" s="563">
        <v>0</v>
      </c>
      <c r="R179" s="564">
        <v>0</v>
      </c>
      <c r="S179" s="563">
        <v>0</v>
      </c>
    </row>
    <row r="180" spans="1:19" ht="13.5" customHeight="1">
      <c r="A180" s="561"/>
      <c r="B180" s="561"/>
      <c r="C180" s="562" t="s">
        <v>351</v>
      </c>
      <c r="D180" s="563">
        <v>500</v>
      </c>
      <c r="E180" s="563">
        <f>G180+P180</f>
        <v>0</v>
      </c>
      <c r="F180" s="563">
        <f>E180/D180*100</f>
        <v>0</v>
      </c>
      <c r="G180" s="563">
        <f>H180+K180+L180+M180+N180+O180</f>
        <v>0</v>
      </c>
      <c r="H180" s="563">
        <f>SUM(I180:J180)</f>
        <v>0</v>
      </c>
      <c r="I180" s="563">
        <v>0</v>
      </c>
      <c r="J180" s="563">
        <v>0</v>
      </c>
      <c r="K180" s="563">
        <v>0</v>
      </c>
      <c r="L180" s="563">
        <v>0</v>
      </c>
      <c r="M180" s="563">
        <v>0</v>
      </c>
      <c r="N180" s="563">
        <v>0</v>
      </c>
      <c r="O180" s="563">
        <v>0</v>
      </c>
      <c r="P180" s="563">
        <f>Q180+S180</f>
        <v>0</v>
      </c>
      <c r="Q180" s="563">
        <v>0</v>
      </c>
      <c r="R180" s="564">
        <v>0</v>
      </c>
      <c r="S180" s="563">
        <v>0</v>
      </c>
    </row>
    <row r="181" spans="1:19" ht="13.5" customHeight="1">
      <c r="A181" s="561"/>
      <c r="B181" s="561"/>
      <c r="C181" s="562" t="s">
        <v>145</v>
      </c>
      <c r="D181" s="563">
        <v>2500</v>
      </c>
      <c r="E181" s="563">
        <f t="shared" si="86"/>
        <v>1830</v>
      </c>
      <c r="F181" s="563">
        <f t="shared" si="84"/>
        <v>73.2</v>
      </c>
      <c r="G181" s="563">
        <f t="shared" si="87"/>
        <v>1830</v>
      </c>
      <c r="H181" s="563">
        <f t="shared" si="88"/>
        <v>1830</v>
      </c>
      <c r="I181" s="563">
        <v>0</v>
      </c>
      <c r="J181" s="563">
        <v>1830</v>
      </c>
      <c r="K181" s="563">
        <v>0</v>
      </c>
      <c r="L181" s="563">
        <v>0</v>
      </c>
      <c r="M181" s="563">
        <v>0</v>
      </c>
      <c r="N181" s="563">
        <v>0</v>
      </c>
      <c r="O181" s="563">
        <v>0</v>
      </c>
      <c r="P181" s="563">
        <f t="shared" si="89"/>
        <v>0</v>
      </c>
      <c r="Q181" s="563">
        <v>0</v>
      </c>
      <c r="R181" s="564">
        <v>0</v>
      </c>
      <c r="S181" s="563">
        <v>0</v>
      </c>
    </row>
    <row r="182" spans="1:19" ht="13.5" customHeight="1">
      <c r="A182" s="561"/>
      <c r="B182" s="554" t="s">
        <v>57</v>
      </c>
      <c r="C182" s="554"/>
      <c r="D182" s="560">
        <f>SUM(D183:D209)</f>
        <v>11205658</v>
      </c>
      <c r="E182" s="560">
        <f>SUM(E183:E209)</f>
        <v>10577540.700000001</v>
      </c>
      <c r="F182" s="560">
        <f aca="true" t="shared" si="90" ref="F182:F189">E182/D182*100</f>
        <v>94.3946415284136</v>
      </c>
      <c r="G182" s="560">
        <f aca="true" t="shared" si="91" ref="G182:S182">SUM(G183:G209)</f>
        <v>10520469.65</v>
      </c>
      <c r="H182" s="560">
        <f t="shared" si="91"/>
        <v>9984708.89</v>
      </c>
      <c r="I182" s="560">
        <f t="shared" si="91"/>
        <v>8472077.76</v>
      </c>
      <c r="J182" s="560">
        <f t="shared" si="91"/>
        <v>1512631.13</v>
      </c>
      <c r="K182" s="560">
        <f t="shared" si="91"/>
        <v>291648.34</v>
      </c>
      <c r="L182" s="560">
        <f t="shared" si="91"/>
        <v>191050.83</v>
      </c>
      <c r="M182" s="560">
        <f t="shared" si="91"/>
        <v>53061.590000000004</v>
      </c>
      <c r="N182" s="560">
        <f t="shared" si="91"/>
        <v>0</v>
      </c>
      <c r="O182" s="560">
        <f t="shared" si="91"/>
        <v>0</v>
      </c>
      <c r="P182" s="560">
        <f t="shared" si="91"/>
        <v>57071.05</v>
      </c>
      <c r="Q182" s="560">
        <f t="shared" si="91"/>
        <v>57071.05</v>
      </c>
      <c r="R182" s="560">
        <f t="shared" si="91"/>
        <v>0</v>
      </c>
      <c r="S182" s="560">
        <f t="shared" si="91"/>
        <v>0</v>
      </c>
    </row>
    <row r="183" spans="1:19" ht="13.5" customHeight="1">
      <c r="A183" s="561"/>
      <c r="B183" s="561"/>
      <c r="C183" s="562" t="s">
        <v>100</v>
      </c>
      <c r="D183" s="563">
        <v>80000</v>
      </c>
      <c r="E183" s="563">
        <f aca="true" t="shared" si="92" ref="E183:E189">G183+P183</f>
        <v>20800</v>
      </c>
      <c r="F183" s="563">
        <f t="shared" si="90"/>
        <v>26</v>
      </c>
      <c r="G183" s="563">
        <f aca="true" t="shared" si="93" ref="G183:G189">H183+K183+L183+M183+N183+O183</f>
        <v>20800</v>
      </c>
      <c r="H183" s="563">
        <f aca="true" t="shared" si="94" ref="H183:H189">SUM(I183:J183)</f>
        <v>0</v>
      </c>
      <c r="I183" s="563">
        <v>0</v>
      </c>
      <c r="J183" s="563">
        <v>0</v>
      </c>
      <c r="K183" s="563">
        <v>20800</v>
      </c>
      <c r="L183" s="563">
        <v>0</v>
      </c>
      <c r="M183" s="563">
        <v>0</v>
      </c>
      <c r="N183" s="563">
        <v>0</v>
      </c>
      <c r="O183" s="563">
        <v>0</v>
      </c>
      <c r="P183" s="563">
        <f aca="true" t="shared" si="95" ref="P183:P189">Q183+S183</f>
        <v>0</v>
      </c>
      <c r="Q183" s="563">
        <v>0</v>
      </c>
      <c r="R183" s="564">
        <v>0</v>
      </c>
      <c r="S183" s="563">
        <v>0</v>
      </c>
    </row>
    <row r="184" spans="1:19" ht="13.5" customHeight="1">
      <c r="A184" s="561"/>
      <c r="B184" s="561"/>
      <c r="C184" s="562" t="s">
        <v>228</v>
      </c>
      <c r="D184" s="563">
        <v>289778</v>
      </c>
      <c r="E184" s="563">
        <f t="shared" si="92"/>
        <v>270848.34</v>
      </c>
      <c r="F184" s="563">
        <f>E184/D184*100</f>
        <v>93.46753031631113</v>
      </c>
      <c r="G184" s="563">
        <f t="shared" si="93"/>
        <v>270848.34</v>
      </c>
      <c r="H184" s="563">
        <f t="shared" si="94"/>
        <v>0</v>
      </c>
      <c r="I184" s="563">
        <v>0</v>
      </c>
      <c r="J184" s="563">
        <v>0</v>
      </c>
      <c r="K184" s="563">
        <v>270848.34</v>
      </c>
      <c r="L184" s="563">
        <v>0</v>
      </c>
      <c r="M184" s="563">
        <v>0</v>
      </c>
      <c r="N184" s="563">
        <v>0</v>
      </c>
      <c r="O184" s="563">
        <v>0</v>
      </c>
      <c r="P184" s="563">
        <f t="shared" si="95"/>
        <v>0</v>
      </c>
      <c r="Q184" s="563">
        <v>0</v>
      </c>
      <c r="R184" s="564">
        <v>0</v>
      </c>
      <c r="S184" s="563">
        <v>0</v>
      </c>
    </row>
    <row r="185" spans="1:19" ht="13.5" customHeight="1">
      <c r="A185" s="561"/>
      <c r="B185" s="561"/>
      <c r="C185" s="562" t="s">
        <v>618</v>
      </c>
      <c r="D185" s="563">
        <v>189513</v>
      </c>
      <c r="E185" s="563">
        <f t="shared" si="92"/>
        <v>0</v>
      </c>
      <c r="F185" s="563">
        <f>E185/D185*100</f>
        <v>0</v>
      </c>
      <c r="G185" s="563">
        <f t="shared" si="93"/>
        <v>0</v>
      </c>
      <c r="H185" s="563">
        <f t="shared" si="94"/>
        <v>0</v>
      </c>
      <c r="I185" s="563">
        <v>0</v>
      </c>
      <c r="J185" s="563">
        <v>0</v>
      </c>
      <c r="K185" s="563">
        <v>0</v>
      </c>
      <c r="L185" s="563">
        <v>0</v>
      </c>
      <c r="M185" s="563">
        <v>0</v>
      </c>
      <c r="N185" s="563">
        <v>0</v>
      </c>
      <c r="O185" s="563">
        <v>0</v>
      </c>
      <c r="P185" s="563">
        <f t="shared" si="95"/>
        <v>0</v>
      </c>
      <c r="Q185" s="563">
        <v>0</v>
      </c>
      <c r="R185" s="564">
        <v>0</v>
      </c>
      <c r="S185" s="563">
        <v>0</v>
      </c>
    </row>
    <row r="186" spans="1:19" ht="13.5" customHeight="1">
      <c r="A186" s="561"/>
      <c r="B186" s="561"/>
      <c r="C186" s="562" t="s">
        <v>307</v>
      </c>
      <c r="D186" s="563">
        <v>195854</v>
      </c>
      <c r="E186" s="563">
        <f t="shared" si="92"/>
        <v>191050.83</v>
      </c>
      <c r="F186" s="563">
        <f t="shared" si="90"/>
        <v>97.54757625578236</v>
      </c>
      <c r="G186" s="563">
        <f t="shared" si="93"/>
        <v>191050.83</v>
      </c>
      <c r="H186" s="563">
        <f t="shared" si="94"/>
        <v>0</v>
      </c>
      <c r="I186" s="563">
        <v>0</v>
      </c>
      <c r="J186" s="563">
        <v>0</v>
      </c>
      <c r="K186" s="563">
        <v>0</v>
      </c>
      <c r="L186" s="563">
        <v>191050.83</v>
      </c>
      <c r="M186" s="563">
        <v>0</v>
      </c>
      <c r="N186" s="563">
        <v>0</v>
      </c>
      <c r="O186" s="563">
        <v>0</v>
      </c>
      <c r="P186" s="563">
        <f t="shared" si="95"/>
        <v>0</v>
      </c>
      <c r="Q186" s="563">
        <v>0</v>
      </c>
      <c r="R186" s="564">
        <v>0</v>
      </c>
      <c r="S186" s="563">
        <v>0</v>
      </c>
    </row>
    <row r="187" spans="1:19" ht="13.5" customHeight="1">
      <c r="A187" s="561"/>
      <c r="B187" s="561"/>
      <c r="C187" s="562" t="s">
        <v>295</v>
      </c>
      <c r="D187" s="563">
        <v>6676063</v>
      </c>
      <c r="E187" s="563">
        <f t="shared" si="92"/>
        <v>6538649.99</v>
      </c>
      <c r="F187" s="563">
        <f t="shared" si="90"/>
        <v>97.94170591260148</v>
      </c>
      <c r="G187" s="563">
        <f t="shared" si="93"/>
        <v>6538649.99</v>
      </c>
      <c r="H187" s="563">
        <f t="shared" si="94"/>
        <v>6538649.99</v>
      </c>
      <c r="I187" s="563">
        <v>6538649.99</v>
      </c>
      <c r="J187" s="563">
        <v>0</v>
      </c>
      <c r="K187" s="563">
        <v>0</v>
      </c>
      <c r="L187" s="563">
        <v>0</v>
      </c>
      <c r="M187" s="563">
        <v>0</v>
      </c>
      <c r="N187" s="563">
        <v>0</v>
      </c>
      <c r="O187" s="563">
        <v>0</v>
      </c>
      <c r="P187" s="563">
        <f t="shared" si="95"/>
        <v>0</v>
      </c>
      <c r="Q187" s="563">
        <v>0</v>
      </c>
      <c r="R187" s="564">
        <v>0</v>
      </c>
      <c r="S187" s="563">
        <v>0</v>
      </c>
    </row>
    <row r="188" spans="1:19" ht="13.5" customHeight="1">
      <c r="A188" s="561"/>
      <c r="B188" s="561"/>
      <c r="C188" s="562" t="s">
        <v>296</v>
      </c>
      <c r="D188" s="563">
        <v>545770</v>
      </c>
      <c r="E188" s="563">
        <f t="shared" si="92"/>
        <v>545757.97</v>
      </c>
      <c r="F188" s="563">
        <f t="shared" si="90"/>
        <v>99.99779577477692</v>
      </c>
      <c r="G188" s="563">
        <f t="shared" si="93"/>
        <v>545757.97</v>
      </c>
      <c r="H188" s="563">
        <f t="shared" si="94"/>
        <v>545757.97</v>
      </c>
      <c r="I188" s="563">
        <v>545757.97</v>
      </c>
      <c r="J188" s="563">
        <v>0</v>
      </c>
      <c r="K188" s="563">
        <v>0</v>
      </c>
      <c r="L188" s="563">
        <v>0</v>
      </c>
      <c r="M188" s="563">
        <v>0</v>
      </c>
      <c r="N188" s="563">
        <v>0</v>
      </c>
      <c r="O188" s="563">
        <v>0</v>
      </c>
      <c r="P188" s="563">
        <f t="shared" si="95"/>
        <v>0</v>
      </c>
      <c r="Q188" s="563">
        <v>0</v>
      </c>
      <c r="R188" s="564">
        <v>0</v>
      </c>
      <c r="S188" s="563">
        <v>0</v>
      </c>
    </row>
    <row r="189" spans="1:19" ht="13.5" customHeight="1">
      <c r="A189" s="561"/>
      <c r="B189" s="561"/>
      <c r="C189" s="562" t="s">
        <v>297</v>
      </c>
      <c r="D189" s="563">
        <v>1279154</v>
      </c>
      <c r="E189" s="563">
        <f t="shared" si="92"/>
        <v>1213379.99</v>
      </c>
      <c r="F189" s="563">
        <f t="shared" si="90"/>
        <v>94.85800693270708</v>
      </c>
      <c r="G189" s="563">
        <f t="shared" si="93"/>
        <v>1213379.99</v>
      </c>
      <c r="H189" s="563">
        <f t="shared" si="94"/>
        <v>1213379.99</v>
      </c>
      <c r="I189" s="563">
        <v>1213379.99</v>
      </c>
      <c r="J189" s="563">
        <v>0</v>
      </c>
      <c r="K189" s="563">
        <v>0</v>
      </c>
      <c r="L189" s="563">
        <v>0</v>
      </c>
      <c r="M189" s="563">
        <v>0</v>
      </c>
      <c r="N189" s="563">
        <v>0</v>
      </c>
      <c r="O189" s="563">
        <v>0</v>
      </c>
      <c r="P189" s="563">
        <f t="shared" si="95"/>
        <v>0</v>
      </c>
      <c r="Q189" s="563">
        <v>0</v>
      </c>
      <c r="R189" s="564">
        <v>0</v>
      </c>
      <c r="S189" s="563">
        <v>0</v>
      </c>
    </row>
    <row r="190" spans="1:19" ht="13.5" customHeight="1">
      <c r="A190" s="561"/>
      <c r="B190" s="561"/>
      <c r="C190" s="562" t="s">
        <v>298</v>
      </c>
      <c r="D190" s="563">
        <v>171099</v>
      </c>
      <c r="E190" s="563">
        <f aca="true" t="shared" si="96" ref="E190:E207">G190+P190</f>
        <v>147821.9</v>
      </c>
      <c r="F190" s="563">
        <f aca="true" t="shared" si="97" ref="F190:F207">E190/D190*100</f>
        <v>86.39553708671588</v>
      </c>
      <c r="G190" s="563">
        <f aca="true" t="shared" si="98" ref="G190:G207">H190+K190+L190+M190+N190+O190</f>
        <v>147821.9</v>
      </c>
      <c r="H190" s="563">
        <f aca="true" t="shared" si="99" ref="H190:H207">SUM(I190:J190)</f>
        <v>147821.9</v>
      </c>
      <c r="I190" s="563">
        <v>147821.9</v>
      </c>
      <c r="J190" s="563">
        <v>0</v>
      </c>
      <c r="K190" s="563">
        <v>0</v>
      </c>
      <c r="L190" s="563">
        <v>0</v>
      </c>
      <c r="M190" s="563">
        <v>0</v>
      </c>
      <c r="N190" s="563">
        <v>0</v>
      </c>
      <c r="O190" s="563">
        <v>0</v>
      </c>
      <c r="P190" s="563">
        <f aca="true" t="shared" si="100" ref="P190:P207">Q190+S190</f>
        <v>0</v>
      </c>
      <c r="Q190" s="563">
        <v>0</v>
      </c>
      <c r="R190" s="564">
        <v>0</v>
      </c>
      <c r="S190" s="563">
        <v>0</v>
      </c>
    </row>
    <row r="191" spans="1:19" ht="13.5" customHeight="1">
      <c r="A191" s="561"/>
      <c r="B191" s="561"/>
      <c r="C191" s="562" t="s">
        <v>305</v>
      </c>
      <c r="D191" s="563">
        <v>26965</v>
      </c>
      <c r="E191" s="563">
        <f t="shared" si="96"/>
        <v>26467.91</v>
      </c>
      <c r="F191" s="563">
        <f t="shared" si="97"/>
        <v>98.15653625069535</v>
      </c>
      <c r="G191" s="563">
        <f t="shared" si="98"/>
        <v>26467.91</v>
      </c>
      <c r="H191" s="563">
        <f t="shared" si="99"/>
        <v>26467.91</v>
      </c>
      <c r="I191" s="563">
        <v>26467.91</v>
      </c>
      <c r="J191" s="563">
        <v>0</v>
      </c>
      <c r="K191" s="563">
        <v>0</v>
      </c>
      <c r="L191" s="563">
        <v>0</v>
      </c>
      <c r="M191" s="563">
        <v>0</v>
      </c>
      <c r="N191" s="563">
        <v>0</v>
      </c>
      <c r="O191" s="563">
        <v>0</v>
      </c>
      <c r="P191" s="563">
        <f t="shared" si="100"/>
        <v>0</v>
      </c>
      <c r="Q191" s="563">
        <v>0</v>
      </c>
      <c r="R191" s="564">
        <v>0</v>
      </c>
      <c r="S191" s="563">
        <v>0</v>
      </c>
    </row>
    <row r="192" spans="1:19" ht="13.5" customHeight="1">
      <c r="A192" s="561"/>
      <c r="B192" s="561"/>
      <c r="C192" s="562" t="s">
        <v>123</v>
      </c>
      <c r="D192" s="563">
        <v>170949</v>
      </c>
      <c r="E192" s="563">
        <f t="shared" si="96"/>
        <v>170710.07</v>
      </c>
      <c r="F192" s="563">
        <f t="shared" si="97"/>
        <v>99.86023316895682</v>
      </c>
      <c r="G192" s="563">
        <f t="shared" si="98"/>
        <v>170710.07</v>
      </c>
      <c r="H192" s="563">
        <f t="shared" si="99"/>
        <v>170710.07</v>
      </c>
      <c r="I192" s="563">
        <v>0</v>
      </c>
      <c r="J192" s="563">
        <v>170710.07</v>
      </c>
      <c r="K192" s="563">
        <v>0</v>
      </c>
      <c r="L192" s="563">
        <v>0</v>
      </c>
      <c r="M192" s="563">
        <v>0</v>
      </c>
      <c r="N192" s="563">
        <v>0</v>
      </c>
      <c r="O192" s="563">
        <v>0</v>
      </c>
      <c r="P192" s="563">
        <f t="shared" si="100"/>
        <v>0</v>
      </c>
      <c r="Q192" s="563">
        <v>0</v>
      </c>
      <c r="R192" s="564">
        <v>0</v>
      </c>
      <c r="S192" s="563">
        <v>0</v>
      </c>
    </row>
    <row r="193" spans="1:19" ht="13.5" customHeight="1">
      <c r="A193" s="561"/>
      <c r="B193" s="561"/>
      <c r="C193" s="562" t="s">
        <v>331</v>
      </c>
      <c r="D193" s="563">
        <v>102455</v>
      </c>
      <c r="E193" s="563">
        <f t="shared" si="96"/>
        <v>42442.02</v>
      </c>
      <c r="F193" s="563">
        <f t="shared" si="97"/>
        <v>41.42503538138695</v>
      </c>
      <c r="G193" s="563">
        <f t="shared" si="98"/>
        <v>42442.02</v>
      </c>
      <c r="H193" s="563">
        <f t="shared" si="99"/>
        <v>42442.02</v>
      </c>
      <c r="I193" s="563">
        <v>0</v>
      </c>
      <c r="J193" s="563">
        <f>15216.92+27225.1</f>
        <v>42442.02</v>
      </c>
      <c r="K193" s="563">
        <v>0</v>
      </c>
      <c r="L193" s="563">
        <v>0</v>
      </c>
      <c r="M193" s="563">
        <v>0</v>
      </c>
      <c r="N193" s="563">
        <v>0</v>
      </c>
      <c r="O193" s="563">
        <v>0</v>
      </c>
      <c r="P193" s="563">
        <f t="shared" si="100"/>
        <v>0</v>
      </c>
      <c r="Q193" s="563">
        <v>0</v>
      </c>
      <c r="R193" s="564">
        <v>0</v>
      </c>
      <c r="S193" s="563">
        <v>0</v>
      </c>
    </row>
    <row r="194" spans="1:19" ht="13.5" customHeight="1">
      <c r="A194" s="561"/>
      <c r="B194" s="561"/>
      <c r="C194" s="562" t="s">
        <v>619</v>
      </c>
      <c r="D194" s="563">
        <v>38403</v>
      </c>
      <c r="E194" s="563">
        <f>G194+P194</f>
        <v>33826.76</v>
      </c>
      <c r="F194" s="563">
        <f>E194/D194*100</f>
        <v>88.0836392990131</v>
      </c>
      <c r="G194" s="563">
        <f>H194+K194+L194+M194+N194+O194</f>
        <v>33826.76</v>
      </c>
      <c r="H194" s="563">
        <f>SUM(I194:J194)</f>
        <v>0</v>
      </c>
      <c r="I194" s="563">
        <v>0</v>
      </c>
      <c r="J194" s="563">
        <v>0</v>
      </c>
      <c r="K194" s="563">
        <v>0</v>
      </c>
      <c r="L194" s="563">
        <v>0</v>
      </c>
      <c r="M194" s="563">
        <v>33826.76</v>
      </c>
      <c r="N194" s="563">
        <v>0</v>
      </c>
      <c r="O194" s="563">
        <v>0</v>
      </c>
      <c r="P194" s="563">
        <f>Q194+S194</f>
        <v>0</v>
      </c>
      <c r="Q194" s="563">
        <v>0</v>
      </c>
      <c r="R194" s="564">
        <v>0</v>
      </c>
      <c r="S194" s="563">
        <v>0</v>
      </c>
    </row>
    <row r="195" spans="1:19" ht="13.5" customHeight="1">
      <c r="A195" s="561"/>
      <c r="B195" s="561"/>
      <c r="C195" s="562" t="s">
        <v>620</v>
      </c>
      <c r="D195" s="563">
        <v>20554</v>
      </c>
      <c r="E195" s="563">
        <f>G195+P195</f>
        <v>19234.83</v>
      </c>
      <c r="F195" s="563">
        <f>E195/D195*100</f>
        <v>93.58193052447213</v>
      </c>
      <c r="G195" s="563">
        <f>H195+K195+L195+M195+N195+O195</f>
        <v>19234.83</v>
      </c>
      <c r="H195" s="563">
        <f>SUM(I195:J195)</f>
        <v>0</v>
      </c>
      <c r="I195" s="563">
        <v>0</v>
      </c>
      <c r="J195" s="563">
        <v>0</v>
      </c>
      <c r="K195" s="563">
        <v>0</v>
      </c>
      <c r="L195" s="563">
        <v>0</v>
      </c>
      <c r="M195" s="563">
        <v>19234.83</v>
      </c>
      <c r="N195" s="563">
        <v>0</v>
      </c>
      <c r="O195" s="563">
        <v>0</v>
      </c>
      <c r="P195" s="563">
        <f>Q195+S195</f>
        <v>0</v>
      </c>
      <c r="Q195" s="563">
        <v>0</v>
      </c>
      <c r="R195" s="564">
        <v>0</v>
      </c>
      <c r="S195" s="563">
        <v>0</v>
      </c>
    </row>
    <row r="196" spans="1:19" ht="13.5" customHeight="1">
      <c r="A196" s="561"/>
      <c r="B196" s="561"/>
      <c r="C196" s="562" t="s">
        <v>315</v>
      </c>
      <c r="D196" s="563">
        <v>616754</v>
      </c>
      <c r="E196" s="563">
        <f t="shared" si="96"/>
        <v>607013.44</v>
      </c>
      <c r="F196" s="563">
        <f t="shared" si="97"/>
        <v>98.42067339652438</v>
      </c>
      <c r="G196" s="563">
        <f t="shared" si="98"/>
        <v>607013.44</v>
      </c>
      <c r="H196" s="563">
        <f t="shared" si="99"/>
        <v>607013.44</v>
      </c>
      <c r="I196" s="563">
        <v>0</v>
      </c>
      <c r="J196" s="563">
        <v>607013.44</v>
      </c>
      <c r="K196" s="563">
        <v>0</v>
      </c>
      <c r="L196" s="563">
        <v>0</v>
      </c>
      <c r="M196" s="563">
        <v>0</v>
      </c>
      <c r="N196" s="563">
        <v>0</v>
      </c>
      <c r="O196" s="563">
        <v>0</v>
      </c>
      <c r="P196" s="563">
        <f t="shared" si="100"/>
        <v>0</v>
      </c>
      <c r="Q196" s="563">
        <v>0</v>
      </c>
      <c r="R196" s="564">
        <v>0</v>
      </c>
      <c r="S196" s="563">
        <v>0</v>
      </c>
    </row>
    <row r="197" spans="1:19" ht="13.5" customHeight="1">
      <c r="A197" s="561"/>
      <c r="B197" s="561"/>
      <c r="C197" s="562" t="s">
        <v>124</v>
      </c>
      <c r="D197" s="563">
        <v>50491</v>
      </c>
      <c r="E197" s="563">
        <f t="shared" si="96"/>
        <v>49926.23</v>
      </c>
      <c r="F197" s="563">
        <f t="shared" si="97"/>
        <v>98.8814442177814</v>
      </c>
      <c r="G197" s="563">
        <f t="shared" si="98"/>
        <v>49926.23</v>
      </c>
      <c r="H197" s="563">
        <f t="shared" si="99"/>
        <v>49926.23</v>
      </c>
      <c r="I197" s="563">
        <v>0</v>
      </c>
      <c r="J197" s="563">
        <v>49926.23</v>
      </c>
      <c r="K197" s="563">
        <v>0</v>
      </c>
      <c r="L197" s="563">
        <v>0</v>
      </c>
      <c r="M197" s="563">
        <v>0</v>
      </c>
      <c r="N197" s="563">
        <v>0</v>
      </c>
      <c r="O197" s="563">
        <v>0</v>
      </c>
      <c r="P197" s="563">
        <f t="shared" si="100"/>
        <v>0</v>
      </c>
      <c r="Q197" s="563">
        <v>0</v>
      </c>
      <c r="R197" s="564">
        <v>0</v>
      </c>
      <c r="S197" s="563">
        <v>0</v>
      </c>
    </row>
    <row r="198" spans="1:19" ht="13.5" customHeight="1">
      <c r="A198" s="561"/>
      <c r="B198" s="561"/>
      <c r="C198" s="562" t="s">
        <v>306</v>
      </c>
      <c r="D198" s="563">
        <v>5309</v>
      </c>
      <c r="E198" s="563">
        <f t="shared" si="96"/>
        <v>5295</v>
      </c>
      <c r="F198" s="563">
        <f t="shared" si="97"/>
        <v>99.73629685439819</v>
      </c>
      <c r="G198" s="563">
        <f t="shared" si="98"/>
        <v>5295</v>
      </c>
      <c r="H198" s="563">
        <f t="shared" si="99"/>
        <v>5295</v>
      </c>
      <c r="I198" s="563">
        <v>0</v>
      </c>
      <c r="J198" s="563">
        <v>5295</v>
      </c>
      <c r="K198" s="563">
        <v>0</v>
      </c>
      <c r="L198" s="563">
        <v>0</v>
      </c>
      <c r="M198" s="563">
        <v>0</v>
      </c>
      <c r="N198" s="563">
        <v>0</v>
      </c>
      <c r="O198" s="563">
        <v>0</v>
      </c>
      <c r="P198" s="563">
        <f t="shared" si="100"/>
        <v>0</v>
      </c>
      <c r="Q198" s="563">
        <v>0</v>
      </c>
      <c r="R198" s="564">
        <v>0</v>
      </c>
      <c r="S198" s="563">
        <v>0</v>
      </c>
    </row>
    <row r="199" spans="1:19" ht="13.5" customHeight="1">
      <c r="A199" s="561"/>
      <c r="B199" s="561"/>
      <c r="C199" s="562" t="s">
        <v>125</v>
      </c>
      <c r="D199" s="563">
        <v>182292</v>
      </c>
      <c r="E199" s="563">
        <f t="shared" si="96"/>
        <v>181491.22</v>
      </c>
      <c r="F199" s="563">
        <f t="shared" si="97"/>
        <v>99.56071577469116</v>
      </c>
      <c r="G199" s="563">
        <f t="shared" si="98"/>
        <v>181491.22</v>
      </c>
      <c r="H199" s="563">
        <f t="shared" si="99"/>
        <v>181491.22</v>
      </c>
      <c r="I199" s="563">
        <v>0</v>
      </c>
      <c r="J199" s="563">
        <v>181491.22</v>
      </c>
      <c r="K199" s="563">
        <v>0</v>
      </c>
      <c r="L199" s="563">
        <v>0</v>
      </c>
      <c r="M199" s="563">
        <v>0</v>
      </c>
      <c r="N199" s="563">
        <v>0</v>
      </c>
      <c r="O199" s="563">
        <v>0</v>
      </c>
      <c r="P199" s="563">
        <f t="shared" si="100"/>
        <v>0</v>
      </c>
      <c r="Q199" s="563">
        <v>0</v>
      </c>
      <c r="R199" s="564">
        <v>0</v>
      </c>
      <c r="S199" s="563">
        <v>0</v>
      </c>
    </row>
    <row r="200" spans="1:19" ht="13.5" customHeight="1">
      <c r="A200" s="561"/>
      <c r="B200" s="561"/>
      <c r="C200" s="562" t="s">
        <v>300</v>
      </c>
      <c r="D200" s="563">
        <v>23143</v>
      </c>
      <c r="E200" s="563">
        <f t="shared" si="96"/>
        <v>21984.97</v>
      </c>
      <c r="F200" s="563">
        <f t="shared" si="97"/>
        <v>94.99619755433609</v>
      </c>
      <c r="G200" s="563">
        <f t="shared" si="98"/>
        <v>21984.97</v>
      </c>
      <c r="H200" s="563">
        <f t="shared" si="99"/>
        <v>21984.97</v>
      </c>
      <c r="I200" s="563">
        <v>0</v>
      </c>
      <c r="J200" s="563">
        <v>21984.97</v>
      </c>
      <c r="K200" s="563">
        <v>0</v>
      </c>
      <c r="L200" s="563">
        <v>0</v>
      </c>
      <c r="M200" s="563">
        <v>0</v>
      </c>
      <c r="N200" s="563">
        <v>0</v>
      </c>
      <c r="O200" s="563">
        <v>0</v>
      </c>
      <c r="P200" s="563">
        <f t="shared" si="100"/>
        <v>0</v>
      </c>
      <c r="Q200" s="563">
        <v>0</v>
      </c>
      <c r="R200" s="564">
        <v>0</v>
      </c>
      <c r="S200" s="563">
        <v>0</v>
      </c>
    </row>
    <row r="201" spans="1:19" ht="13.5" customHeight="1">
      <c r="A201" s="561"/>
      <c r="B201" s="561"/>
      <c r="C201" s="562" t="s">
        <v>301</v>
      </c>
      <c r="D201" s="563">
        <v>255</v>
      </c>
      <c r="E201" s="563">
        <f>G201+P201</f>
        <v>254.61</v>
      </c>
      <c r="F201" s="563">
        <f>E201/D201*100</f>
        <v>99.84705882352942</v>
      </c>
      <c r="G201" s="563">
        <f>H201+K201+L201+M201+N201+O201</f>
        <v>254.61</v>
      </c>
      <c r="H201" s="563">
        <f>SUM(I201:J201)</f>
        <v>254.61</v>
      </c>
      <c r="I201" s="563">
        <v>0</v>
      </c>
      <c r="J201" s="563">
        <v>254.61</v>
      </c>
      <c r="K201" s="563">
        <v>0</v>
      </c>
      <c r="L201" s="563">
        <v>0</v>
      </c>
      <c r="M201" s="563">
        <v>0</v>
      </c>
      <c r="N201" s="563">
        <v>0</v>
      </c>
      <c r="O201" s="563">
        <v>0</v>
      </c>
      <c r="P201" s="563">
        <f>Q201+S201</f>
        <v>0</v>
      </c>
      <c r="Q201" s="563">
        <v>0</v>
      </c>
      <c r="R201" s="564">
        <v>0</v>
      </c>
      <c r="S201" s="563">
        <v>0</v>
      </c>
    </row>
    <row r="202" spans="1:19" ht="13.5" customHeight="1">
      <c r="A202" s="561"/>
      <c r="B202" s="561"/>
      <c r="C202" s="562" t="s">
        <v>302</v>
      </c>
      <c r="D202" s="563">
        <v>18335</v>
      </c>
      <c r="E202" s="563">
        <f t="shared" si="96"/>
        <v>18314.63</v>
      </c>
      <c r="F202" s="563">
        <f t="shared" si="97"/>
        <v>99.88890100899918</v>
      </c>
      <c r="G202" s="563">
        <f t="shared" si="98"/>
        <v>18314.63</v>
      </c>
      <c r="H202" s="563">
        <f t="shared" si="99"/>
        <v>18314.63</v>
      </c>
      <c r="I202" s="563">
        <v>0</v>
      </c>
      <c r="J202" s="563">
        <v>18314.63</v>
      </c>
      <c r="K202" s="563">
        <v>0</v>
      </c>
      <c r="L202" s="563">
        <v>0</v>
      </c>
      <c r="M202" s="563">
        <v>0</v>
      </c>
      <c r="N202" s="563">
        <v>0</v>
      </c>
      <c r="O202" s="563">
        <v>0</v>
      </c>
      <c r="P202" s="563">
        <f t="shared" si="100"/>
        <v>0</v>
      </c>
      <c r="Q202" s="563">
        <v>0</v>
      </c>
      <c r="R202" s="564">
        <v>0</v>
      </c>
      <c r="S202" s="563">
        <v>0</v>
      </c>
    </row>
    <row r="203" spans="1:19" ht="13.5" customHeight="1">
      <c r="A203" s="561"/>
      <c r="B203" s="561"/>
      <c r="C203" s="562" t="s">
        <v>303</v>
      </c>
      <c r="D203" s="563">
        <v>35161</v>
      </c>
      <c r="E203" s="563">
        <f t="shared" si="96"/>
        <v>35054.54</v>
      </c>
      <c r="F203" s="563">
        <f t="shared" si="97"/>
        <v>99.69722135320383</v>
      </c>
      <c r="G203" s="563">
        <f t="shared" si="98"/>
        <v>35054.54</v>
      </c>
      <c r="H203" s="563">
        <f t="shared" si="99"/>
        <v>35054.54</v>
      </c>
      <c r="I203" s="563">
        <v>0</v>
      </c>
      <c r="J203" s="563">
        <v>35054.54</v>
      </c>
      <c r="K203" s="563">
        <v>0</v>
      </c>
      <c r="L203" s="563">
        <v>0</v>
      </c>
      <c r="M203" s="563">
        <v>0</v>
      </c>
      <c r="N203" s="563">
        <v>0</v>
      </c>
      <c r="O203" s="563">
        <v>0</v>
      </c>
      <c r="P203" s="563">
        <f t="shared" si="100"/>
        <v>0</v>
      </c>
      <c r="Q203" s="563">
        <v>0</v>
      </c>
      <c r="R203" s="564">
        <v>0</v>
      </c>
      <c r="S203" s="563">
        <v>0</v>
      </c>
    </row>
    <row r="204" spans="1:19" ht="13.5" customHeight="1">
      <c r="A204" s="561"/>
      <c r="B204" s="561"/>
      <c r="C204" s="562" t="s">
        <v>304</v>
      </c>
      <c r="D204" s="563">
        <v>365903</v>
      </c>
      <c r="E204" s="563">
        <f t="shared" si="96"/>
        <v>365903</v>
      </c>
      <c r="F204" s="563">
        <f t="shared" si="97"/>
        <v>100</v>
      </c>
      <c r="G204" s="563">
        <f t="shared" si="98"/>
        <v>365903</v>
      </c>
      <c r="H204" s="563">
        <f t="shared" si="99"/>
        <v>365903</v>
      </c>
      <c r="I204" s="563">
        <v>0</v>
      </c>
      <c r="J204" s="563">
        <v>365903</v>
      </c>
      <c r="K204" s="563">
        <v>0</v>
      </c>
      <c r="L204" s="563">
        <v>0</v>
      </c>
      <c r="M204" s="563">
        <v>0</v>
      </c>
      <c r="N204" s="563">
        <v>0</v>
      </c>
      <c r="O204" s="563">
        <v>0</v>
      </c>
      <c r="P204" s="563">
        <f t="shared" si="100"/>
        <v>0</v>
      </c>
      <c r="Q204" s="563">
        <v>0</v>
      </c>
      <c r="R204" s="564">
        <v>0</v>
      </c>
      <c r="S204" s="563">
        <v>0</v>
      </c>
    </row>
    <row r="205" spans="1:19" ht="13.5" customHeight="1">
      <c r="A205" s="561"/>
      <c r="B205" s="561"/>
      <c r="C205" s="562" t="s">
        <v>317</v>
      </c>
      <c r="D205" s="563">
        <v>608</v>
      </c>
      <c r="E205" s="563">
        <f t="shared" si="96"/>
        <v>608</v>
      </c>
      <c r="F205" s="563">
        <f t="shared" si="97"/>
        <v>100</v>
      </c>
      <c r="G205" s="563">
        <f t="shared" si="98"/>
        <v>608</v>
      </c>
      <c r="H205" s="563">
        <f t="shared" si="99"/>
        <v>608</v>
      </c>
      <c r="I205" s="563">
        <v>0</v>
      </c>
      <c r="J205" s="563">
        <v>608</v>
      </c>
      <c r="K205" s="563">
        <v>0</v>
      </c>
      <c r="L205" s="563">
        <v>0</v>
      </c>
      <c r="M205" s="563">
        <v>0</v>
      </c>
      <c r="N205" s="563">
        <v>0</v>
      </c>
      <c r="O205" s="563">
        <v>0</v>
      </c>
      <c r="P205" s="563">
        <f t="shared" si="100"/>
        <v>0</v>
      </c>
      <c r="Q205" s="563">
        <v>0</v>
      </c>
      <c r="R205" s="564">
        <v>0</v>
      </c>
      <c r="S205" s="563">
        <v>0</v>
      </c>
    </row>
    <row r="206" spans="1:19" ht="13.5" customHeight="1">
      <c r="A206" s="561"/>
      <c r="B206" s="561"/>
      <c r="C206" s="562" t="s">
        <v>319</v>
      </c>
      <c r="D206" s="563">
        <v>5466</v>
      </c>
      <c r="E206" s="563">
        <f>G206+P206</f>
        <v>5398</v>
      </c>
      <c r="F206" s="563">
        <f>E206/D206*100</f>
        <v>98.75594584705452</v>
      </c>
      <c r="G206" s="563">
        <f>H206+K206+L206+M206+N206+O206</f>
        <v>5398</v>
      </c>
      <c r="H206" s="563">
        <f>SUM(I206:J206)</f>
        <v>5398</v>
      </c>
      <c r="I206" s="563">
        <v>0</v>
      </c>
      <c r="J206" s="563">
        <v>5398</v>
      </c>
      <c r="K206" s="563">
        <v>0</v>
      </c>
      <c r="L206" s="563">
        <v>0</v>
      </c>
      <c r="M206" s="563">
        <v>0</v>
      </c>
      <c r="N206" s="563">
        <v>0</v>
      </c>
      <c r="O206" s="563">
        <v>0</v>
      </c>
      <c r="P206" s="563">
        <f>Q206+S206</f>
        <v>0</v>
      </c>
      <c r="Q206" s="563">
        <v>0</v>
      </c>
      <c r="R206" s="564">
        <v>0</v>
      </c>
      <c r="S206" s="563">
        <v>0</v>
      </c>
    </row>
    <row r="207" spans="1:19" ht="13.5" customHeight="1">
      <c r="A207" s="561"/>
      <c r="B207" s="561"/>
      <c r="C207" s="562" t="s">
        <v>351</v>
      </c>
      <c r="D207" s="563">
        <v>1647</v>
      </c>
      <c r="E207" s="563">
        <f t="shared" si="96"/>
        <v>1647</v>
      </c>
      <c r="F207" s="563">
        <f t="shared" si="97"/>
        <v>100</v>
      </c>
      <c r="G207" s="563">
        <f t="shared" si="98"/>
        <v>1647</v>
      </c>
      <c r="H207" s="563">
        <f t="shared" si="99"/>
        <v>1647</v>
      </c>
      <c r="I207" s="563">
        <v>0</v>
      </c>
      <c r="J207" s="563">
        <v>1647</v>
      </c>
      <c r="K207" s="563">
        <v>0</v>
      </c>
      <c r="L207" s="563">
        <v>0</v>
      </c>
      <c r="M207" s="563">
        <v>0</v>
      </c>
      <c r="N207" s="563">
        <v>0</v>
      </c>
      <c r="O207" s="563">
        <v>0</v>
      </c>
      <c r="P207" s="563">
        <f t="shared" si="100"/>
        <v>0</v>
      </c>
      <c r="Q207" s="563">
        <v>0</v>
      </c>
      <c r="R207" s="564">
        <v>0</v>
      </c>
      <c r="S207" s="563">
        <v>0</v>
      </c>
    </row>
    <row r="208" spans="1:19" ht="13.5" customHeight="1">
      <c r="A208" s="561"/>
      <c r="B208" s="561"/>
      <c r="C208" s="562" t="s">
        <v>145</v>
      </c>
      <c r="D208" s="563">
        <v>6665</v>
      </c>
      <c r="E208" s="563">
        <f>G208+P208</f>
        <v>6588.4</v>
      </c>
      <c r="F208" s="563">
        <f>E208/D208*100</f>
        <v>98.85071267816954</v>
      </c>
      <c r="G208" s="563">
        <f>H208+K208+L208+M208+N208+O208</f>
        <v>6588.4</v>
      </c>
      <c r="H208" s="563">
        <f>SUM(I208:J208)</f>
        <v>6588.4</v>
      </c>
      <c r="I208" s="563">
        <v>0</v>
      </c>
      <c r="J208" s="563">
        <v>6588.4</v>
      </c>
      <c r="K208" s="563">
        <v>0</v>
      </c>
      <c r="L208" s="563">
        <v>0</v>
      </c>
      <c r="M208" s="563">
        <v>0</v>
      </c>
      <c r="N208" s="563">
        <v>0</v>
      </c>
      <c r="O208" s="563">
        <v>0</v>
      </c>
      <c r="P208" s="563">
        <f>Q208+S208</f>
        <v>0</v>
      </c>
      <c r="Q208" s="563">
        <v>0</v>
      </c>
      <c r="R208" s="564">
        <v>0</v>
      </c>
      <c r="S208" s="563">
        <v>0</v>
      </c>
    </row>
    <row r="209" spans="1:19" ht="13.5" customHeight="1">
      <c r="A209" s="561"/>
      <c r="B209" s="561"/>
      <c r="C209" s="562" t="s">
        <v>320</v>
      </c>
      <c r="D209" s="563">
        <v>107072</v>
      </c>
      <c r="E209" s="563">
        <f>G209+P209</f>
        <v>57071.05</v>
      </c>
      <c r="F209" s="563">
        <f>E209/D209*100</f>
        <v>53.301563433950996</v>
      </c>
      <c r="G209" s="563">
        <f>H209+K209+L209+M209+N209+O209</f>
        <v>0</v>
      </c>
      <c r="H209" s="563">
        <f>SUM(I209:J209)</f>
        <v>0</v>
      </c>
      <c r="I209" s="563">
        <v>0</v>
      </c>
      <c r="J209" s="563">
        <v>0</v>
      </c>
      <c r="K209" s="563">
        <v>0</v>
      </c>
      <c r="L209" s="563">
        <v>0</v>
      </c>
      <c r="M209" s="563">
        <v>0</v>
      </c>
      <c r="N209" s="563">
        <v>0</v>
      </c>
      <c r="O209" s="563">
        <v>0</v>
      </c>
      <c r="P209" s="563">
        <f>Q209+S209</f>
        <v>57071.05</v>
      </c>
      <c r="Q209" s="563">
        <f>49000+8071.05</f>
        <v>57071.05</v>
      </c>
      <c r="R209" s="564">
        <v>0</v>
      </c>
      <c r="S209" s="563">
        <v>0</v>
      </c>
    </row>
    <row r="210" spans="1:19" ht="13.5" customHeight="1">
      <c r="A210" s="561"/>
      <c r="B210" s="554" t="s">
        <v>348</v>
      </c>
      <c r="C210" s="554"/>
      <c r="D210" s="560">
        <f>SUM(D211:D215)</f>
        <v>647776</v>
      </c>
      <c r="E210" s="560">
        <f>SUM(E211:E215)</f>
        <v>643829.23</v>
      </c>
      <c r="F210" s="560">
        <f aca="true" t="shared" si="101" ref="F210:F215">E210/D210*100</f>
        <v>99.39071994022625</v>
      </c>
      <c r="G210" s="560">
        <f aca="true" t="shared" si="102" ref="G210:S210">SUM(G211:G215)</f>
        <v>643829.23</v>
      </c>
      <c r="H210" s="560">
        <f t="shared" si="102"/>
        <v>643829.23</v>
      </c>
      <c r="I210" s="560">
        <f t="shared" si="102"/>
        <v>625743.59</v>
      </c>
      <c r="J210" s="560">
        <f t="shared" si="102"/>
        <v>18085.64</v>
      </c>
      <c r="K210" s="560">
        <f t="shared" si="102"/>
        <v>0</v>
      </c>
      <c r="L210" s="560">
        <f t="shared" si="102"/>
        <v>0</v>
      </c>
      <c r="M210" s="560">
        <f t="shared" si="102"/>
        <v>0</v>
      </c>
      <c r="N210" s="560">
        <f t="shared" si="102"/>
        <v>0</v>
      </c>
      <c r="O210" s="560">
        <f t="shared" si="102"/>
        <v>0</v>
      </c>
      <c r="P210" s="560">
        <f t="shared" si="102"/>
        <v>0</v>
      </c>
      <c r="Q210" s="560">
        <f t="shared" si="102"/>
        <v>0</v>
      </c>
      <c r="R210" s="560">
        <f t="shared" si="102"/>
        <v>0</v>
      </c>
      <c r="S210" s="560">
        <f t="shared" si="102"/>
        <v>0</v>
      </c>
    </row>
    <row r="211" spans="1:19" ht="13.5" customHeight="1">
      <c r="A211" s="561"/>
      <c r="B211" s="561"/>
      <c r="C211" s="562" t="s">
        <v>295</v>
      </c>
      <c r="D211" s="563">
        <v>500191</v>
      </c>
      <c r="E211" s="563">
        <f>G211+P211</f>
        <v>496558.11</v>
      </c>
      <c r="F211" s="563">
        <f t="shared" si="101"/>
        <v>99.27369944681132</v>
      </c>
      <c r="G211" s="563">
        <f>H211+K211+L211+M211+N211+O211</f>
        <v>496558.11</v>
      </c>
      <c r="H211" s="563">
        <f>SUM(I211:J211)</f>
        <v>496558.11</v>
      </c>
      <c r="I211" s="563">
        <v>496558.11</v>
      </c>
      <c r="J211" s="563">
        <v>0</v>
      </c>
      <c r="K211" s="563">
        <v>0</v>
      </c>
      <c r="L211" s="563">
        <v>0</v>
      </c>
      <c r="M211" s="563">
        <v>0</v>
      </c>
      <c r="N211" s="563">
        <v>0</v>
      </c>
      <c r="O211" s="563">
        <v>0</v>
      </c>
      <c r="P211" s="563">
        <f>Q211+S211</f>
        <v>0</v>
      </c>
      <c r="Q211" s="563">
        <v>0</v>
      </c>
      <c r="R211" s="564">
        <v>0</v>
      </c>
      <c r="S211" s="563">
        <v>0</v>
      </c>
    </row>
    <row r="212" spans="1:19" ht="13.5" customHeight="1">
      <c r="A212" s="561"/>
      <c r="B212" s="561"/>
      <c r="C212" s="562" t="s">
        <v>296</v>
      </c>
      <c r="D212" s="563">
        <v>31502</v>
      </c>
      <c r="E212" s="563">
        <f>G212+P212</f>
        <v>31501.71</v>
      </c>
      <c r="F212" s="563">
        <f t="shared" si="101"/>
        <v>99.99907942352866</v>
      </c>
      <c r="G212" s="563">
        <f>H212+K212+L212+M212+N212+O212</f>
        <v>31501.71</v>
      </c>
      <c r="H212" s="563">
        <f>SUM(I212:J212)</f>
        <v>31501.71</v>
      </c>
      <c r="I212" s="563">
        <v>31501.71</v>
      </c>
      <c r="J212" s="563">
        <v>0</v>
      </c>
      <c r="K212" s="563">
        <v>0</v>
      </c>
      <c r="L212" s="563">
        <v>0</v>
      </c>
      <c r="M212" s="563">
        <v>0</v>
      </c>
      <c r="N212" s="563">
        <v>0</v>
      </c>
      <c r="O212" s="563">
        <v>0</v>
      </c>
      <c r="P212" s="563">
        <f>Q212+S212</f>
        <v>0</v>
      </c>
      <c r="Q212" s="563">
        <v>0</v>
      </c>
      <c r="R212" s="564">
        <v>0</v>
      </c>
      <c r="S212" s="563">
        <v>0</v>
      </c>
    </row>
    <row r="213" spans="1:19" ht="13.5" customHeight="1">
      <c r="A213" s="561"/>
      <c r="B213" s="561"/>
      <c r="C213" s="562" t="s">
        <v>297</v>
      </c>
      <c r="D213" s="563">
        <v>86274</v>
      </c>
      <c r="E213" s="563">
        <f>G213+P213</f>
        <v>86241.79</v>
      </c>
      <c r="F213" s="563">
        <f t="shared" si="101"/>
        <v>99.96266546120499</v>
      </c>
      <c r="G213" s="563">
        <f>H213+K213+L213+M213+N213+O213</f>
        <v>86241.79</v>
      </c>
      <c r="H213" s="563">
        <f>SUM(I213:J213)</f>
        <v>86241.79</v>
      </c>
      <c r="I213" s="563">
        <v>86241.79</v>
      </c>
      <c r="J213" s="563">
        <v>0</v>
      </c>
      <c r="K213" s="563">
        <v>0</v>
      </c>
      <c r="L213" s="563">
        <v>0</v>
      </c>
      <c r="M213" s="563">
        <v>0</v>
      </c>
      <c r="N213" s="563">
        <v>0</v>
      </c>
      <c r="O213" s="563">
        <v>0</v>
      </c>
      <c r="P213" s="563">
        <f>Q213+S213</f>
        <v>0</v>
      </c>
      <c r="Q213" s="563">
        <v>0</v>
      </c>
      <c r="R213" s="564">
        <v>0</v>
      </c>
      <c r="S213" s="563">
        <v>0</v>
      </c>
    </row>
    <row r="214" spans="1:19" ht="13.5" customHeight="1">
      <c r="A214" s="561"/>
      <c r="B214" s="561"/>
      <c r="C214" s="562" t="s">
        <v>298</v>
      </c>
      <c r="D214" s="563">
        <v>11723</v>
      </c>
      <c r="E214" s="563">
        <f>G214+P214</f>
        <v>11441.98</v>
      </c>
      <c r="F214" s="563">
        <f t="shared" si="101"/>
        <v>97.6028320395803</v>
      </c>
      <c r="G214" s="563">
        <f>H214+K214+L214+M214+N214+O214</f>
        <v>11441.98</v>
      </c>
      <c r="H214" s="563">
        <f>SUM(I214:J214)</f>
        <v>11441.98</v>
      </c>
      <c r="I214" s="563">
        <v>11441.98</v>
      </c>
      <c r="J214" s="563">
        <v>0</v>
      </c>
      <c r="K214" s="563">
        <v>0</v>
      </c>
      <c r="L214" s="563">
        <v>0</v>
      </c>
      <c r="M214" s="563">
        <v>0</v>
      </c>
      <c r="N214" s="563">
        <v>0</v>
      </c>
      <c r="O214" s="563">
        <v>0</v>
      </c>
      <c r="P214" s="563">
        <f>Q214+S214</f>
        <v>0</v>
      </c>
      <c r="Q214" s="563">
        <v>0</v>
      </c>
      <c r="R214" s="564">
        <v>0</v>
      </c>
      <c r="S214" s="563">
        <v>0</v>
      </c>
    </row>
    <row r="215" spans="1:19" ht="13.5" customHeight="1">
      <c r="A215" s="561"/>
      <c r="B215" s="561"/>
      <c r="C215" s="562" t="s">
        <v>304</v>
      </c>
      <c r="D215" s="563">
        <v>18086</v>
      </c>
      <c r="E215" s="563">
        <f>G215+P215</f>
        <v>18085.64</v>
      </c>
      <c r="F215" s="563">
        <f t="shared" si="101"/>
        <v>99.99800951011832</v>
      </c>
      <c r="G215" s="563">
        <f>H215+K215+L215+M215+N215+O215</f>
        <v>18085.64</v>
      </c>
      <c r="H215" s="563">
        <f>SUM(I215:J215)</f>
        <v>18085.64</v>
      </c>
      <c r="I215" s="563">
        <v>0</v>
      </c>
      <c r="J215" s="563">
        <v>18085.64</v>
      </c>
      <c r="K215" s="563">
        <v>0</v>
      </c>
      <c r="L215" s="563">
        <v>0</v>
      </c>
      <c r="M215" s="563">
        <v>0</v>
      </c>
      <c r="N215" s="563">
        <v>0</v>
      </c>
      <c r="O215" s="563">
        <v>0</v>
      </c>
      <c r="P215" s="563">
        <f>Q215+S215</f>
        <v>0</v>
      </c>
      <c r="Q215" s="563">
        <v>0</v>
      </c>
      <c r="R215" s="564">
        <v>0</v>
      </c>
      <c r="S215" s="563">
        <v>0</v>
      </c>
    </row>
    <row r="216" spans="1:19" ht="13.5" customHeight="1">
      <c r="A216" s="561"/>
      <c r="B216" s="554" t="s">
        <v>349</v>
      </c>
      <c r="C216" s="554"/>
      <c r="D216" s="560">
        <f>SUM(D217:D230)</f>
        <v>410171</v>
      </c>
      <c r="E216" s="560">
        <f>SUM(E217:E230)</f>
        <v>269014.17</v>
      </c>
      <c r="F216" s="560">
        <f>E216/D216*100</f>
        <v>65.58585809333181</v>
      </c>
      <c r="G216" s="560">
        <f aca="true" t="shared" si="103" ref="G216:S216">SUM(G217:G230)</f>
        <v>269014.17</v>
      </c>
      <c r="H216" s="560">
        <f t="shared" si="103"/>
        <v>64908.43</v>
      </c>
      <c r="I216" s="560">
        <f t="shared" si="103"/>
        <v>4148.31</v>
      </c>
      <c r="J216" s="560">
        <f t="shared" si="103"/>
        <v>60760.12</v>
      </c>
      <c r="K216" s="560">
        <f t="shared" si="103"/>
        <v>0</v>
      </c>
      <c r="L216" s="560">
        <f t="shared" si="103"/>
        <v>0</v>
      </c>
      <c r="M216" s="560">
        <f t="shared" si="103"/>
        <v>204105.74</v>
      </c>
      <c r="N216" s="560">
        <f t="shared" si="103"/>
        <v>0</v>
      </c>
      <c r="O216" s="560">
        <f t="shared" si="103"/>
        <v>0</v>
      </c>
      <c r="P216" s="560">
        <f t="shared" si="103"/>
        <v>0</v>
      </c>
      <c r="Q216" s="560">
        <f t="shared" si="103"/>
        <v>0</v>
      </c>
      <c r="R216" s="560">
        <f t="shared" si="103"/>
        <v>0</v>
      </c>
      <c r="S216" s="560">
        <f t="shared" si="103"/>
        <v>0</v>
      </c>
    </row>
    <row r="217" spans="1:19" ht="13.5" customHeight="1">
      <c r="A217" s="561"/>
      <c r="B217" s="561"/>
      <c r="C217" s="562" t="s">
        <v>354</v>
      </c>
      <c r="D217" s="563">
        <v>20389</v>
      </c>
      <c r="E217" s="563">
        <f>G217+P217</f>
        <v>19985.48</v>
      </c>
      <c r="F217" s="563">
        <f>E217/D217*100</f>
        <v>98.02089361910834</v>
      </c>
      <c r="G217" s="563">
        <f>H217+K217+L217+M217+N217+O217</f>
        <v>19985.48</v>
      </c>
      <c r="H217" s="563">
        <f>SUM(I217:J217)</f>
        <v>0</v>
      </c>
      <c r="I217" s="563">
        <v>0</v>
      </c>
      <c r="J217" s="563">
        <v>0</v>
      </c>
      <c r="K217" s="563">
        <v>0</v>
      </c>
      <c r="L217" s="563">
        <v>0</v>
      </c>
      <c r="M217" s="563">
        <v>19985.48</v>
      </c>
      <c r="N217" s="563">
        <v>0</v>
      </c>
      <c r="O217" s="563">
        <v>0</v>
      </c>
      <c r="P217" s="563">
        <f>Q217+S217</f>
        <v>0</v>
      </c>
      <c r="Q217" s="563">
        <v>0</v>
      </c>
      <c r="R217" s="564">
        <v>0</v>
      </c>
      <c r="S217" s="563">
        <v>0</v>
      </c>
    </row>
    <row r="218" spans="1:19" ht="13.5" customHeight="1">
      <c r="A218" s="561"/>
      <c r="B218" s="561"/>
      <c r="C218" s="562" t="s">
        <v>358</v>
      </c>
      <c r="D218" s="563">
        <v>3597</v>
      </c>
      <c r="E218" s="563">
        <f aca="true" t="shared" si="104" ref="E218:E227">G218+P218</f>
        <v>3526.85</v>
      </c>
      <c r="F218" s="563">
        <f aca="true" t="shared" si="105" ref="F218:F227">E218/D218*100</f>
        <v>98.04976369196552</v>
      </c>
      <c r="G218" s="563">
        <f aca="true" t="shared" si="106" ref="G218:G227">H218+K218+L218+M218+N218+O218</f>
        <v>3526.85</v>
      </c>
      <c r="H218" s="563">
        <f aca="true" t="shared" si="107" ref="H218:H227">SUM(I218:J218)</f>
        <v>0</v>
      </c>
      <c r="I218" s="563">
        <v>0</v>
      </c>
      <c r="J218" s="563">
        <v>0</v>
      </c>
      <c r="K218" s="563">
        <v>0</v>
      </c>
      <c r="L218" s="563">
        <v>0</v>
      </c>
      <c r="M218" s="563">
        <v>3526.85</v>
      </c>
      <c r="N218" s="563">
        <v>0</v>
      </c>
      <c r="O218" s="563">
        <v>0</v>
      </c>
      <c r="P218" s="563">
        <f aca="true" t="shared" si="108" ref="P218:P227">Q218+S218</f>
        <v>0</v>
      </c>
      <c r="Q218" s="563">
        <v>0</v>
      </c>
      <c r="R218" s="564">
        <v>0</v>
      </c>
      <c r="S218" s="563">
        <v>0</v>
      </c>
    </row>
    <row r="219" spans="1:19" ht="13.5" customHeight="1">
      <c r="A219" s="561"/>
      <c r="B219" s="561"/>
      <c r="C219" s="562" t="s">
        <v>297</v>
      </c>
      <c r="D219" s="563">
        <v>4123</v>
      </c>
      <c r="E219" s="563">
        <f t="shared" si="104"/>
        <v>3773.42</v>
      </c>
      <c r="F219" s="563">
        <f t="shared" si="105"/>
        <v>91.52122241086587</v>
      </c>
      <c r="G219" s="563">
        <f t="shared" si="106"/>
        <v>3773.42</v>
      </c>
      <c r="H219" s="563">
        <f t="shared" si="107"/>
        <v>3773.42</v>
      </c>
      <c r="I219" s="563">
        <v>3773.42</v>
      </c>
      <c r="J219" s="563">
        <v>0</v>
      </c>
      <c r="K219" s="563">
        <v>0</v>
      </c>
      <c r="L219" s="563">
        <v>0</v>
      </c>
      <c r="M219" s="563">
        <v>0</v>
      </c>
      <c r="N219" s="563">
        <v>0</v>
      </c>
      <c r="O219" s="563">
        <v>0</v>
      </c>
      <c r="P219" s="563">
        <f t="shared" si="108"/>
        <v>0</v>
      </c>
      <c r="Q219" s="563">
        <v>0</v>
      </c>
      <c r="R219" s="564">
        <v>0</v>
      </c>
      <c r="S219" s="563">
        <v>0</v>
      </c>
    </row>
    <row r="220" spans="1:19" ht="13.5" customHeight="1">
      <c r="A220" s="561"/>
      <c r="B220" s="561"/>
      <c r="C220" s="562" t="s">
        <v>298</v>
      </c>
      <c r="D220" s="563">
        <v>588</v>
      </c>
      <c r="E220" s="563">
        <f t="shared" si="104"/>
        <v>374.89</v>
      </c>
      <c r="F220" s="563">
        <f t="shared" si="105"/>
        <v>63.756802721088434</v>
      </c>
      <c r="G220" s="563">
        <f t="shared" si="106"/>
        <v>374.89</v>
      </c>
      <c r="H220" s="563">
        <f t="shared" si="107"/>
        <v>374.89</v>
      </c>
      <c r="I220" s="563">
        <v>374.89</v>
      </c>
      <c r="J220" s="563">
        <v>0</v>
      </c>
      <c r="K220" s="563">
        <v>0</v>
      </c>
      <c r="L220" s="563">
        <v>0</v>
      </c>
      <c r="M220" s="563">
        <v>0</v>
      </c>
      <c r="N220" s="563">
        <v>0</v>
      </c>
      <c r="O220" s="563">
        <v>0</v>
      </c>
      <c r="P220" s="563">
        <f t="shared" si="108"/>
        <v>0</v>
      </c>
      <c r="Q220" s="563">
        <v>0</v>
      </c>
      <c r="R220" s="564">
        <v>0</v>
      </c>
      <c r="S220" s="563">
        <v>0</v>
      </c>
    </row>
    <row r="221" spans="1:19" ht="13.5" customHeight="1">
      <c r="A221" s="561"/>
      <c r="B221" s="561"/>
      <c r="C221" s="562" t="s">
        <v>334</v>
      </c>
      <c r="D221" s="563">
        <v>45645</v>
      </c>
      <c r="E221" s="563">
        <f t="shared" si="104"/>
        <v>39735.8</v>
      </c>
      <c r="F221" s="563">
        <f t="shared" si="105"/>
        <v>87.05400372439479</v>
      </c>
      <c r="G221" s="563">
        <f t="shared" si="106"/>
        <v>39735.8</v>
      </c>
      <c r="H221" s="563">
        <f t="shared" si="107"/>
        <v>0</v>
      </c>
      <c r="I221" s="563">
        <v>0</v>
      </c>
      <c r="J221" s="563">
        <v>0</v>
      </c>
      <c r="K221" s="563">
        <v>0</v>
      </c>
      <c r="L221" s="563">
        <v>0</v>
      </c>
      <c r="M221" s="563">
        <v>39735.8</v>
      </c>
      <c r="N221" s="563">
        <v>0</v>
      </c>
      <c r="O221" s="563">
        <v>0</v>
      </c>
      <c r="P221" s="563">
        <f t="shared" si="108"/>
        <v>0</v>
      </c>
      <c r="Q221" s="563">
        <v>0</v>
      </c>
      <c r="R221" s="564">
        <v>0</v>
      </c>
      <c r="S221" s="563">
        <v>0</v>
      </c>
    </row>
    <row r="222" spans="1:19" ht="13.5" customHeight="1">
      <c r="A222" s="561"/>
      <c r="B222" s="561"/>
      <c r="C222" s="562" t="s">
        <v>335</v>
      </c>
      <c r="D222" s="563">
        <v>8055</v>
      </c>
      <c r="E222" s="563">
        <f t="shared" si="104"/>
        <v>7012.2</v>
      </c>
      <c r="F222" s="563">
        <f t="shared" si="105"/>
        <v>87.05400372439478</v>
      </c>
      <c r="G222" s="563">
        <f t="shared" si="106"/>
        <v>7012.2</v>
      </c>
      <c r="H222" s="563">
        <f t="shared" si="107"/>
        <v>0</v>
      </c>
      <c r="I222" s="563">
        <v>0</v>
      </c>
      <c r="J222" s="563">
        <v>0</v>
      </c>
      <c r="K222" s="563">
        <v>0</v>
      </c>
      <c r="L222" s="563">
        <v>0</v>
      </c>
      <c r="M222" s="563">
        <v>7012.2</v>
      </c>
      <c r="N222" s="563">
        <v>0</v>
      </c>
      <c r="O222" s="563">
        <v>0</v>
      </c>
      <c r="P222" s="563">
        <f t="shared" si="108"/>
        <v>0</v>
      </c>
      <c r="Q222" s="563">
        <v>0</v>
      </c>
      <c r="R222" s="564">
        <v>0</v>
      </c>
      <c r="S222" s="563">
        <v>0</v>
      </c>
    </row>
    <row r="223" spans="1:19" ht="13.5" customHeight="1">
      <c r="A223" s="561"/>
      <c r="B223" s="561"/>
      <c r="C223" s="562" t="s">
        <v>123</v>
      </c>
      <c r="D223" s="563">
        <v>13912</v>
      </c>
      <c r="E223" s="563">
        <f t="shared" si="104"/>
        <v>7352.76</v>
      </c>
      <c r="F223" s="563">
        <f t="shared" si="105"/>
        <v>52.851926394479584</v>
      </c>
      <c r="G223" s="563">
        <f t="shared" si="106"/>
        <v>7352.76</v>
      </c>
      <c r="H223" s="563">
        <f t="shared" si="107"/>
        <v>7352.76</v>
      </c>
      <c r="I223" s="563">
        <v>0</v>
      </c>
      <c r="J223" s="563">
        <v>7352.76</v>
      </c>
      <c r="K223" s="563">
        <v>0</v>
      </c>
      <c r="L223" s="563">
        <v>0</v>
      </c>
      <c r="M223" s="563">
        <v>0</v>
      </c>
      <c r="N223" s="563">
        <v>0</v>
      </c>
      <c r="O223" s="563">
        <v>0</v>
      </c>
      <c r="P223" s="563">
        <f t="shared" si="108"/>
        <v>0</v>
      </c>
      <c r="Q223" s="563">
        <v>0</v>
      </c>
      <c r="R223" s="564">
        <v>0</v>
      </c>
      <c r="S223" s="563">
        <v>0</v>
      </c>
    </row>
    <row r="224" spans="1:19" ht="13.5" customHeight="1">
      <c r="A224" s="561"/>
      <c r="B224" s="561"/>
      <c r="C224" s="562" t="s">
        <v>336</v>
      </c>
      <c r="D224" s="563">
        <v>6865</v>
      </c>
      <c r="E224" s="563">
        <f t="shared" si="104"/>
        <v>3064.6</v>
      </c>
      <c r="F224" s="563">
        <f t="shared" si="105"/>
        <v>44.640932265112895</v>
      </c>
      <c r="G224" s="563">
        <f t="shared" si="106"/>
        <v>3064.6</v>
      </c>
      <c r="H224" s="563">
        <f t="shared" si="107"/>
        <v>0</v>
      </c>
      <c r="I224" s="563">
        <v>0</v>
      </c>
      <c r="J224" s="563">
        <v>0</v>
      </c>
      <c r="K224" s="563">
        <v>0</v>
      </c>
      <c r="L224" s="563">
        <v>0</v>
      </c>
      <c r="M224" s="563">
        <v>3064.6</v>
      </c>
      <c r="N224" s="563">
        <v>0</v>
      </c>
      <c r="O224" s="563">
        <v>0</v>
      </c>
      <c r="P224" s="563">
        <f t="shared" si="108"/>
        <v>0</v>
      </c>
      <c r="Q224" s="563">
        <v>0</v>
      </c>
      <c r="R224" s="564">
        <v>0</v>
      </c>
      <c r="S224" s="563">
        <v>0</v>
      </c>
    </row>
    <row r="225" spans="1:19" ht="13.5" customHeight="1">
      <c r="A225" s="561"/>
      <c r="B225" s="561"/>
      <c r="C225" s="562" t="s">
        <v>337</v>
      </c>
      <c r="D225" s="563">
        <v>1212</v>
      </c>
      <c r="E225" s="563">
        <f t="shared" si="104"/>
        <v>540.81</v>
      </c>
      <c r="F225" s="563">
        <f t="shared" si="105"/>
        <v>44.621287128712865</v>
      </c>
      <c r="G225" s="563">
        <f t="shared" si="106"/>
        <v>540.81</v>
      </c>
      <c r="H225" s="563">
        <f t="shared" si="107"/>
        <v>0</v>
      </c>
      <c r="I225" s="563">
        <v>0</v>
      </c>
      <c r="J225" s="563">
        <v>0</v>
      </c>
      <c r="K225" s="563">
        <v>0</v>
      </c>
      <c r="L225" s="563">
        <v>0</v>
      </c>
      <c r="M225" s="563">
        <v>540.81</v>
      </c>
      <c r="N225" s="563">
        <v>0</v>
      </c>
      <c r="O225" s="563">
        <v>0</v>
      </c>
      <c r="P225" s="563">
        <f t="shared" si="108"/>
        <v>0</v>
      </c>
      <c r="Q225" s="563">
        <v>0</v>
      </c>
      <c r="R225" s="564">
        <v>0</v>
      </c>
      <c r="S225" s="563">
        <v>0</v>
      </c>
    </row>
    <row r="226" spans="1:19" ht="13.5" customHeight="1">
      <c r="A226" s="561"/>
      <c r="B226" s="561"/>
      <c r="C226" s="562" t="s">
        <v>125</v>
      </c>
      <c r="D226" s="563">
        <v>43061</v>
      </c>
      <c r="E226" s="563">
        <f>G226+P226</f>
        <v>14674</v>
      </c>
      <c r="F226" s="563">
        <f>E226/D226*100</f>
        <v>34.0772392652284</v>
      </c>
      <c r="G226" s="563">
        <f>H226+K226+L226+M226+N226+O226</f>
        <v>14674</v>
      </c>
      <c r="H226" s="563">
        <f>SUM(I226:J226)</f>
        <v>14674</v>
      </c>
      <c r="I226" s="563">
        <v>0</v>
      </c>
      <c r="J226" s="563">
        <v>14674</v>
      </c>
      <c r="K226" s="563">
        <v>0</v>
      </c>
      <c r="L226" s="563">
        <v>0</v>
      </c>
      <c r="M226" s="563">
        <v>0</v>
      </c>
      <c r="N226" s="563">
        <v>0</v>
      </c>
      <c r="O226" s="563">
        <v>0</v>
      </c>
      <c r="P226" s="563">
        <f>Q226+S226</f>
        <v>0</v>
      </c>
      <c r="Q226" s="563">
        <v>0</v>
      </c>
      <c r="R226" s="564">
        <v>0</v>
      </c>
      <c r="S226" s="563">
        <v>0</v>
      </c>
    </row>
    <row r="227" spans="1:19" ht="13.5" customHeight="1">
      <c r="A227" s="561"/>
      <c r="B227" s="561"/>
      <c r="C227" s="562" t="s">
        <v>338</v>
      </c>
      <c r="D227" s="563">
        <v>150280</v>
      </c>
      <c r="E227" s="563">
        <f t="shared" si="104"/>
        <v>110704</v>
      </c>
      <c r="F227" s="563">
        <f t="shared" si="105"/>
        <v>73.66515837104073</v>
      </c>
      <c r="G227" s="563">
        <f t="shared" si="106"/>
        <v>110704</v>
      </c>
      <c r="H227" s="563">
        <f t="shared" si="107"/>
        <v>0</v>
      </c>
      <c r="I227" s="563">
        <v>0</v>
      </c>
      <c r="J227" s="563">
        <v>0</v>
      </c>
      <c r="K227" s="563">
        <v>0</v>
      </c>
      <c r="L227" s="563">
        <v>0</v>
      </c>
      <c r="M227" s="563">
        <v>110704</v>
      </c>
      <c r="N227" s="563">
        <v>0</v>
      </c>
      <c r="O227" s="563">
        <v>0</v>
      </c>
      <c r="P227" s="563">
        <f t="shared" si="108"/>
        <v>0</v>
      </c>
      <c r="Q227" s="563">
        <v>0</v>
      </c>
      <c r="R227" s="564">
        <v>0</v>
      </c>
      <c r="S227" s="563">
        <v>0</v>
      </c>
    </row>
    <row r="228" spans="1:19" ht="13.5" customHeight="1">
      <c r="A228" s="561"/>
      <c r="B228" s="561"/>
      <c r="C228" s="562" t="s">
        <v>294</v>
      </c>
      <c r="D228" s="563">
        <v>26520</v>
      </c>
      <c r="E228" s="563">
        <f>G228+P228</f>
        <v>19536</v>
      </c>
      <c r="F228" s="563">
        <f aca="true" t="shared" si="109" ref="F228:F245">E228/D228*100</f>
        <v>73.66515837104073</v>
      </c>
      <c r="G228" s="563">
        <f>H228+K228+L228+M228+N228+O228</f>
        <v>19536</v>
      </c>
      <c r="H228" s="563">
        <f>SUM(I228:J228)</f>
        <v>0</v>
      </c>
      <c r="I228" s="563">
        <v>0</v>
      </c>
      <c r="J228" s="563">
        <v>0</v>
      </c>
      <c r="K228" s="563">
        <v>0</v>
      </c>
      <c r="L228" s="563">
        <v>0</v>
      </c>
      <c r="M228" s="563">
        <v>19536</v>
      </c>
      <c r="N228" s="563">
        <v>0</v>
      </c>
      <c r="O228" s="563">
        <v>0</v>
      </c>
      <c r="P228" s="563">
        <f>Q228+S228</f>
        <v>0</v>
      </c>
      <c r="Q228" s="563">
        <v>0</v>
      </c>
      <c r="R228" s="564">
        <v>0</v>
      </c>
      <c r="S228" s="563">
        <v>0</v>
      </c>
    </row>
    <row r="229" spans="1:19" ht="13.5" customHeight="1">
      <c r="A229" s="561"/>
      <c r="B229" s="561"/>
      <c r="C229" s="562" t="s">
        <v>302</v>
      </c>
      <c r="D229" s="563">
        <v>22352</v>
      </c>
      <c r="E229" s="563">
        <f>G229+P229</f>
        <v>10562.71</v>
      </c>
      <c r="F229" s="563">
        <f t="shared" si="109"/>
        <v>47.25621868289191</v>
      </c>
      <c r="G229" s="563">
        <f>H229+K229+L229+M229+N229+O229</f>
        <v>10562.71</v>
      </c>
      <c r="H229" s="563">
        <f>SUM(I229:J229)</f>
        <v>10562.71</v>
      </c>
      <c r="I229" s="563">
        <v>0</v>
      </c>
      <c r="J229" s="563">
        <v>10562.71</v>
      </c>
      <c r="K229" s="563">
        <v>0</v>
      </c>
      <c r="L229" s="563">
        <v>0</v>
      </c>
      <c r="M229" s="563">
        <v>0</v>
      </c>
      <c r="N229" s="563">
        <v>0</v>
      </c>
      <c r="O229" s="563">
        <v>0</v>
      </c>
      <c r="P229" s="563">
        <f>Q229+S229</f>
        <v>0</v>
      </c>
      <c r="Q229" s="563">
        <v>0</v>
      </c>
      <c r="R229" s="564">
        <v>0</v>
      </c>
      <c r="S229" s="563">
        <v>0</v>
      </c>
    </row>
    <row r="230" spans="1:19" ht="13.5" customHeight="1">
      <c r="A230" s="561"/>
      <c r="B230" s="561"/>
      <c r="C230" s="562" t="s">
        <v>145</v>
      </c>
      <c r="D230" s="563">
        <v>63572</v>
      </c>
      <c r="E230" s="563">
        <f>G230+P230</f>
        <v>28170.65</v>
      </c>
      <c r="F230" s="563">
        <f t="shared" si="109"/>
        <v>44.312983703517276</v>
      </c>
      <c r="G230" s="563">
        <f>H230+K230+L230+M230+N230+O230</f>
        <v>28170.65</v>
      </c>
      <c r="H230" s="563">
        <f>SUM(I230:J230)</f>
        <v>28170.65</v>
      </c>
      <c r="I230" s="563">
        <v>0</v>
      </c>
      <c r="J230" s="563">
        <v>28170.65</v>
      </c>
      <c r="K230" s="563">
        <v>0</v>
      </c>
      <c r="L230" s="563">
        <v>0</v>
      </c>
      <c r="M230" s="563">
        <v>0</v>
      </c>
      <c r="N230" s="563">
        <v>0</v>
      </c>
      <c r="O230" s="563">
        <v>0</v>
      </c>
      <c r="P230" s="563">
        <f>Q230+S230</f>
        <v>0</v>
      </c>
      <c r="Q230" s="563">
        <v>0</v>
      </c>
      <c r="R230" s="564">
        <v>0</v>
      </c>
      <c r="S230" s="563">
        <v>0</v>
      </c>
    </row>
    <row r="231" spans="1:19" ht="13.5" customHeight="1">
      <c r="A231" s="561"/>
      <c r="B231" s="554" t="s">
        <v>621</v>
      </c>
      <c r="C231" s="554"/>
      <c r="D231" s="560">
        <f>SUM(D232:D245)</f>
        <v>489467</v>
      </c>
      <c r="E231" s="560">
        <f>SUM(E232:E245)</f>
        <v>489467</v>
      </c>
      <c r="F231" s="560">
        <f t="shared" si="109"/>
        <v>100</v>
      </c>
      <c r="G231" s="560">
        <f aca="true" t="shared" si="110" ref="G231:S231">SUM(G232:G245)</f>
        <v>489467</v>
      </c>
      <c r="H231" s="560">
        <f t="shared" si="110"/>
        <v>480251</v>
      </c>
      <c r="I231" s="560">
        <f t="shared" si="110"/>
        <v>412605</v>
      </c>
      <c r="J231" s="560">
        <f t="shared" si="110"/>
        <v>67646</v>
      </c>
      <c r="K231" s="560">
        <f t="shared" si="110"/>
        <v>0</v>
      </c>
      <c r="L231" s="560">
        <f t="shared" si="110"/>
        <v>9216</v>
      </c>
      <c r="M231" s="560">
        <f t="shared" si="110"/>
        <v>0</v>
      </c>
      <c r="N231" s="560">
        <f t="shared" si="110"/>
        <v>0</v>
      </c>
      <c r="O231" s="560">
        <f t="shared" si="110"/>
        <v>0</v>
      </c>
      <c r="P231" s="560">
        <f t="shared" si="110"/>
        <v>0</v>
      </c>
      <c r="Q231" s="560">
        <f t="shared" si="110"/>
        <v>0</v>
      </c>
      <c r="R231" s="560">
        <f t="shared" si="110"/>
        <v>0</v>
      </c>
      <c r="S231" s="560">
        <f t="shared" si="110"/>
        <v>0</v>
      </c>
    </row>
    <row r="232" spans="1:19" ht="13.5" customHeight="1">
      <c r="A232" s="561"/>
      <c r="B232" s="561"/>
      <c r="C232" s="562" t="s">
        <v>307</v>
      </c>
      <c r="D232" s="563">
        <v>9216</v>
      </c>
      <c r="E232" s="563">
        <f aca="true" t="shared" si="111" ref="E232:E245">G232+P232</f>
        <v>9216</v>
      </c>
      <c r="F232" s="563">
        <f t="shared" si="109"/>
        <v>100</v>
      </c>
      <c r="G232" s="563">
        <f aca="true" t="shared" si="112" ref="G232:G245">H232+K232+L232+M232+N232+O232</f>
        <v>9216</v>
      </c>
      <c r="H232" s="563">
        <f aca="true" t="shared" si="113" ref="H232:H245">SUM(I232:J232)</f>
        <v>0</v>
      </c>
      <c r="I232" s="563">
        <v>0</v>
      </c>
      <c r="J232" s="563">
        <v>0</v>
      </c>
      <c r="K232" s="563">
        <v>0</v>
      </c>
      <c r="L232" s="563">
        <v>9216</v>
      </c>
      <c r="M232" s="563">
        <v>0</v>
      </c>
      <c r="N232" s="563">
        <v>0</v>
      </c>
      <c r="O232" s="563">
        <v>0</v>
      </c>
      <c r="P232" s="563">
        <f aca="true" t="shared" si="114" ref="P232:P245">Q232+S232</f>
        <v>0</v>
      </c>
      <c r="Q232" s="563">
        <v>0</v>
      </c>
      <c r="R232" s="564">
        <v>0</v>
      </c>
      <c r="S232" s="563">
        <v>0</v>
      </c>
    </row>
    <row r="233" spans="1:19" ht="13.5" customHeight="1">
      <c r="A233" s="561"/>
      <c r="B233" s="561"/>
      <c r="C233" s="562" t="s">
        <v>295</v>
      </c>
      <c r="D233" s="563">
        <v>340055</v>
      </c>
      <c r="E233" s="563">
        <f t="shared" si="111"/>
        <v>340055</v>
      </c>
      <c r="F233" s="563">
        <f t="shared" si="109"/>
        <v>100</v>
      </c>
      <c r="G233" s="563">
        <f t="shared" si="112"/>
        <v>340055</v>
      </c>
      <c r="H233" s="563">
        <f t="shared" si="113"/>
        <v>340055</v>
      </c>
      <c r="I233" s="563">
        <v>340055</v>
      </c>
      <c r="J233" s="563">
        <v>0</v>
      </c>
      <c r="K233" s="563">
        <v>0</v>
      </c>
      <c r="L233" s="563">
        <v>0</v>
      </c>
      <c r="M233" s="563">
        <v>0</v>
      </c>
      <c r="N233" s="563">
        <v>0</v>
      </c>
      <c r="O233" s="563">
        <v>0</v>
      </c>
      <c r="P233" s="563">
        <f t="shared" si="114"/>
        <v>0</v>
      </c>
      <c r="Q233" s="563">
        <v>0</v>
      </c>
      <c r="R233" s="564">
        <v>0</v>
      </c>
      <c r="S233" s="563">
        <v>0</v>
      </c>
    </row>
    <row r="234" spans="1:19" ht="13.5" customHeight="1">
      <c r="A234" s="561"/>
      <c r="B234" s="561"/>
      <c r="C234" s="562" t="s">
        <v>297</v>
      </c>
      <c r="D234" s="563">
        <v>63613</v>
      </c>
      <c r="E234" s="563">
        <f t="shared" si="111"/>
        <v>63613</v>
      </c>
      <c r="F234" s="563">
        <f t="shared" si="109"/>
        <v>100</v>
      </c>
      <c r="G234" s="563">
        <f t="shared" si="112"/>
        <v>63613</v>
      </c>
      <c r="H234" s="563">
        <f t="shared" si="113"/>
        <v>63613</v>
      </c>
      <c r="I234" s="563">
        <v>63613</v>
      </c>
      <c r="J234" s="563">
        <v>0</v>
      </c>
      <c r="K234" s="563">
        <v>0</v>
      </c>
      <c r="L234" s="563">
        <v>0</v>
      </c>
      <c r="M234" s="563">
        <v>0</v>
      </c>
      <c r="N234" s="563">
        <v>0</v>
      </c>
      <c r="O234" s="563">
        <v>0</v>
      </c>
      <c r="P234" s="563">
        <f t="shared" si="114"/>
        <v>0</v>
      </c>
      <c r="Q234" s="563">
        <v>0</v>
      </c>
      <c r="R234" s="564">
        <v>0</v>
      </c>
      <c r="S234" s="563">
        <v>0</v>
      </c>
    </row>
    <row r="235" spans="1:19" ht="13.5" customHeight="1">
      <c r="A235" s="561"/>
      <c r="B235" s="561"/>
      <c r="C235" s="562" t="s">
        <v>298</v>
      </c>
      <c r="D235" s="563">
        <v>8937</v>
      </c>
      <c r="E235" s="563">
        <f t="shared" si="111"/>
        <v>8937</v>
      </c>
      <c r="F235" s="563">
        <f t="shared" si="109"/>
        <v>100</v>
      </c>
      <c r="G235" s="563">
        <f t="shared" si="112"/>
        <v>8937</v>
      </c>
      <c r="H235" s="563">
        <f t="shared" si="113"/>
        <v>8937</v>
      </c>
      <c r="I235" s="563">
        <v>8937</v>
      </c>
      <c r="J235" s="563">
        <v>0</v>
      </c>
      <c r="K235" s="563">
        <v>0</v>
      </c>
      <c r="L235" s="563">
        <v>0</v>
      </c>
      <c r="M235" s="563">
        <v>0</v>
      </c>
      <c r="N235" s="563">
        <v>0</v>
      </c>
      <c r="O235" s="563">
        <v>0</v>
      </c>
      <c r="P235" s="563">
        <f t="shared" si="114"/>
        <v>0</v>
      </c>
      <c r="Q235" s="563">
        <v>0</v>
      </c>
      <c r="R235" s="564">
        <v>0</v>
      </c>
      <c r="S235" s="563">
        <v>0</v>
      </c>
    </row>
    <row r="236" spans="1:19" ht="13.5" customHeight="1">
      <c r="A236" s="561"/>
      <c r="B236" s="561"/>
      <c r="C236" s="562" t="s">
        <v>123</v>
      </c>
      <c r="D236" s="563">
        <v>6014</v>
      </c>
      <c r="E236" s="563">
        <f t="shared" si="111"/>
        <v>6014</v>
      </c>
      <c r="F236" s="563">
        <f t="shared" si="109"/>
        <v>100</v>
      </c>
      <c r="G236" s="563">
        <f t="shared" si="112"/>
        <v>6014</v>
      </c>
      <c r="H236" s="563">
        <f t="shared" si="113"/>
        <v>6014</v>
      </c>
      <c r="I236" s="563">
        <v>0</v>
      </c>
      <c r="J236" s="563">
        <v>6014</v>
      </c>
      <c r="K236" s="563">
        <v>0</v>
      </c>
      <c r="L236" s="563">
        <v>0</v>
      </c>
      <c r="M236" s="563">
        <v>0</v>
      </c>
      <c r="N236" s="563">
        <v>0</v>
      </c>
      <c r="O236" s="563">
        <v>0</v>
      </c>
      <c r="P236" s="563">
        <f t="shared" si="114"/>
        <v>0</v>
      </c>
      <c r="Q236" s="563">
        <v>0</v>
      </c>
      <c r="R236" s="564">
        <v>0</v>
      </c>
      <c r="S236" s="563">
        <v>0</v>
      </c>
    </row>
    <row r="237" spans="1:19" ht="13.5" customHeight="1">
      <c r="A237" s="561"/>
      <c r="B237" s="561"/>
      <c r="C237" s="562" t="s">
        <v>331</v>
      </c>
      <c r="D237" s="563">
        <v>5579</v>
      </c>
      <c r="E237" s="563">
        <f t="shared" si="111"/>
        <v>5579</v>
      </c>
      <c r="F237" s="563">
        <f t="shared" si="109"/>
        <v>100</v>
      </c>
      <c r="G237" s="563">
        <f t="shared" si="112"/>
        <v>5579</v>
      </c>
      <c r="H237" s="563">
        <f t="shared" si="113"/>
        <v>5579</v>
      </c>
      <c r="I237" s="563">
        <v>0</v>
      </c>
      <c r="J237" s="563">
        <v>5579</v>
      </c>
      <c r="K237" s="563">
        <v>0</v>
      </c>
      <c r="L237" s="563">
        <v>0</v>
      </c>
      <c r="M237" s="563">
        <v>0</v>
      </c>
      <c r="N237" s="563">
        <v>0</v>
      </c>
      <c r="O237" s="563">
        <v>0</v>
      </c>
      <c r="P237" s="563">
        <f t="shared" si="114"/>
        <v>0</v>
      </c>
      <c r="Q237" s="563">
        <v>0</v>
      </c>
      <c r="R237" s="564">
        <v>0</v>
      </c>
      <c r="S237" s="563">
        <v>0</v>
      </c>
    </row>
    <row r="238" spans="1:19" ht="13.5" customHeight="1">
      <c r="A238" s="561"/>
      <c r="B238" s="561"/>
      <c r="C238" s="562" t="s">
        <v>315</v>
      </c>
      <c r="D238" s="563">
        <v>26074</v>
      </c>
      <c r="E238" s="563">
        <f t="shared" si="111"/>
        <v>26074</v>
      </c>
      <c r="F238" s="563">
        <f t="shared" si="109"/>
        <v>100</v>
      </c>
      <c r="G238" s="563">
        <f t="shared" si="112"/>
        <v>26074</v>
      </c>
      <c r="H238" s="563">
        <f t="shared" si="113"/>
        <v>26074</v>
      </c>
      <c r="I238" s="563">
        <v>0</v>
      </c>
      <c r="J238" s="563">
        <v>26074</v>
      </c>
      <c r="K238" s="563">
        <v>0</v>
      </c>
      <c r="L238" s="563">
        <v>0</v>
      </c>
      <c r="M238" s="563">
        <v>0</v>
      </c>
      <c r="N238" s="563">
        <v>0</v>
      </c>
      <c r="O238" s="563">
        <v>0</v>
      </c>
      <c r="P238" s="563">
        <f t="shared" si="114"/>
        <v>0</v>
      </c>
      <c r="Q238" s="563">
        <v>0</v>
      </c>
      <c r="R238" s="564">
        <v>0</v>
      </c>
      <c r="S238" s="563">
        <v>0</v>
      </c>
    </row>
    <row r="239" spans="1:19" ht="13.5" customHeight="1">
      <c r="A239" s="561"/>
      <c r="B239" s="561"/>
      <c r="C239" s="562" t="s">
        <v>124</v>
      </c>
      <c r="D239" s="563">
        <v>1693</v>
      </c>
      <c r="E239" s="563">
        <f t="shared" si="111"/>
        <v>1693</v>
      </c>
      <c r="F239" s="563">
        <f t="shared" si="109"/>
        <v>100</v>
      </c>
      <c r="G239" s="563">
        <f t="shared" si="112"/>
        <v>1693</v>
      </c>
      <c r="H239" s="563">
        <f t="shared" si="113"/>
        <v>1693</v>
      </c>
      <c r="I239" s="563">
        <v>0</v>
      </c>
      <c r="J239" s="563">
        <v>1693</v>
      </c>
      <c r="K239" s="563">
        <v>0</v>
      </c>
      <c r="L239" s="563">
        <v>0</v>
      </c>
      <c r="M239" s="563">
        <v>0</v>
      </c>
      <c r="N239" s="563">
        <v>0</v>
      </c>
      <c r="O239" s="563">
        <v>0</v>
      </c>
      <c r="P239" s="563">
        <f t="shared" si="114"/>
        <v>0</v>
      </c>
      <c r="Q239" s="563">
        <v>0</v>
      </c>
      <c r="R239" s="564">
        <v>0</v>
      </c>
      <c r="S239" s="563">
        <v>0</v>
      </c>
    </row>
    <row r="240" spans="1:19" ht="13.5" customHeight="1">
      <c r="A240" s="561"/>
      <c r="B240" s="561"/>
      <c r="C240" s="562" t="s">
        <v>306</v>
      </c>
      <c r="D240" s="563">
        <v>75</v>
      </c>
      <c r="E240" s="563">
        <f t="shared" si="111"/>
        <v>75</v>
      </c>
      <c r="F240" s="563">
        <f t="shared" si="109"/>
        <v>100</v>
      </c>
      <c r="G240" s="563">
        <f t="shared" si="112"/>
        <v>75</v>
      </c>
      <c r="H240" s="563">
        <f t="shared" si="113"/>
        <v>75</v>
      </c>
      <c r="I240" s="563">
        <v>0</v>
      </c>
      <c r="J240" s="563">
        <v>75</v>
      </c>
      <c r="K240" s="563">
        <v>0</v>
      </c>
      <c r="L240" s="563">
        <v>0</v>
      </c>
      <c r="M240" s="563">
        <v>0</v>
      </c>
      <c r="N240" s="563">
        <v>0</v>
      </c>
      <c r="O240" s="563">
        <v>0</v>
      </c>
      <c r="P240" s="563">
        <f t="shared" si="114"/>
        <v>0</v>
      </c>
      <c r="Q240" s="563">
        <v>0</v>
      </c>
      <c r="R240" s="564">
        <v>0</v>
      </c>
      <c r="S240" s="563">
        <v>0</v>
      </c>
    </row>
    <row r="241" spans="1:19" ht="13.5" customHeight="1">
      <c r="A241" s="561"/>
      <c r="B241" s="561"/>
      <c r="C241" s="562" t="s">
        <v>125</v>
      </c>
      <c r="D241" s="563">
        <v>7978</v>
      </c>
      <c r="E241" s="563">
        <f t="shared" si="111"/>
        <v>7978</v>
      </c>
      <c r="F241" s="563">
        <f t="shared" si="109"/>
        <v>100</v>
      </c>
      <c r="G241" s="563">
        <f t="shared" si="112"/>
        <v>7978</v>
      </c>
      <c r="H241" s="563">
        <f t="shared" si="113"/>
        <v>7978</v>
      </c>
      <c r="I241" s="563">
        <v>0</v>
      </c>
      <c r="J241" s="563">
        <v>7978</v>
      </c>
      <c r="K241" s="563">
        <v>0</v>
      </c>
      <c r="L241" s="563">
        <v>0</v>
      </c>
      <c r="M241" s="563">
        <v>0</v>
      </c>
      <c r="N241" s="563">
        <v>0</v>
      </c>
      <c r="O241" s="563">
        <v>0</v>
      </c>
      <c r="P241" s="563">
        <f t="shared" si="114"/>
        <v>0</v>
      </c>
      <c r="Q241" s="563">
        <v>0</v>
      </c>
      <c r="R241" s="564">
        <v>0</v>
      </c>
      <c r="S241" s="563">
        <v>0</v>
      </c>
    </row>
    <row r="242" spans="1:19" ht="13.5" customHeight="1">
      <c r="A242" s="561"/>
      <c r="B242" s="561"/>
      <c r="C242" s="562" t="s">
        <v>300</v>
      </c>
      <c r="D242" s="563">
        <v>171</v>
      </c>
      <c r="E242" s="563">
        <f t="shared" si="111"/>
        <v>171</v>
      </c>
      <c r="F242" s="563">
        <f t="shared" si="109"/>
        <v>100</v>
      </c>
      <c r="G242" s="563">
        <f t="shared" si="112"/>
        <v>171</v>
      </c>
      <c r="H242" s="563">
        <f t="shared" si="113"/>
        <v>171</v>
      </c>
      <c r="I242" s="563">
        <v>0</v>
      </c>
      <c r="J242" s="563">
        <v>171</v>
      </c>
      <c r="K242" s="563">
        <v>0</v>
      </c>
      <c r="L242" s="563">
        <v>0</v>
      </c>
      <c r="M242" s="563">
        <v>0</v>
      </c>
      <c r="N242" s="563">
        <v>0</v>
      </c>
      <c r="O242" s="563">
        <v>0</v>
      </c>
      <c r="P242" s="563">
        <f t="shared" si="114"/>
        <v>0</v>
      </c>
      <c r="Q242" s="563">
        <v>0</v>
      </c>
      <c r="R242" s="564">
        <v>0</v>
      </c>
      <c r="S242" s="563">
        <v>0</v>
      </c>
    </row>
    <row r="243" spans="1:19" ht="13.5" customHeight="1">
      <c r="A243" s="561"/>
      <c r="B243" s="561"/>
      <c r="C243" s="562" t="s">
        <v>303</v>
      </c>
      <c r="D243" s="563">
        <v>1650</v>
      </c>
      <c r="E243" s="563">
        <f t="shared" si="111"/>
        <v>1650</v>
      </c>
      <c r="F243" s="563">
        <f t="shared" si="109"/>
        <v>100</v>
      </c>
      <c r="G243" s="563">
        <f t="shared" si="112"/>
        <v>1650</v>
      </c>
      <c r="H243" s="563">
        <f t="shared" si="113"/>
        <v>1650</v>
      </c>
      <c r="I243" s="563">
        <v>0</v>
      </c>
      <c r="J243" s="563">
        <v>1650</v>
      </c>
      <c r="K243" s="563">
        <v>0</v>
      </c>
      <c r="L243" s="563">
        <v>0</v>
      </c>
      <c r="M243" s="563">
        <v>0</v>
      </c>
      <c r="N243" s="563">
        <v>0</v>
      </c>
      <c r="O243" s="563">
        <v>0</v>
      </c>
      <c r="P243" s="563">
        <f t="shared" si="114"/>
        <v>0</v>
      </c>
      <c r="Q243" s="563">
        <v>0</v>
      </c>
      <c r="R243" s="564">
        <v>0</v>
      </c>
      <c r="S243" s="563">
        <v>0</v>
      </c>
    </row>
    <row r="244" spans="1:19" ht="13.5" customHeight="1">
      <c r="A244" s="561"/>
      <c r="B244" s="561"/>
      <c r="C244" s="562" t="s">
        <v>304</v>
      </c>
      <c r="D244" s="563">
        <v>18242</v>
      </c>
      <c r="E244" s="563">
        <f t="shared" si="111"/>
        <v>18242</v>
      </c>
      <c r="F244" s="563">
        <f t="shared" si="109"/>
        <v>100</v>
      </c>
      <c r="G244" s="563">
        <f t="shared" si="112"/>
        <v>18242</v>
      </c>
      <c r="H244" s="563">
        <f t="shared" si="113"/>
        <v>18242</v>
      </c>
      <c r="I244" s="563">
        <v>0</v>
      </c>
      <c r="J244" s="563">
        <v>18242</v>
      </c>
      <c r="K244" s="563">
        <v>0</v>
      </c>
      <c r="L244" s="563">
        <v>0</v>
      </c>
      <c r="M244" s="563">
        <v>0</v>
      </c>
      <c r="N244" s="563">
        <v>0</v>
      </c>
      <c r="O244" s="563">
        <v>0</v>
      </c>
      <c r="P244" s="563">
        <f t="shared" si="114"/>
        <v>0</v>
      </c>
      <c r="Q244" s="563">
        <v>0</v>
      </c>
      <c r="R244" s="564">
        <v>0</v>
      </c>
      <c r="S244" s="563">
        <v>0</v>
      </c>
    </row>
    <row r="245" spans="1:19" ht="13.5" customHeight="1">
      <c r="A245" s="561"/>
      <c r="B245" s="561"/>
      <c r="C245" s="562" t="s">
        <v>319</v>
      </c>
      <c r="D245" s="563">
        <v>170</v>
      </c>
      <c r="E245" s="563">
        <f t="shared" si="111"/>
        <v>170</v>
      </c>
      <c r="F245" s="563">
        <f t="shared" si="109"/>
        <v>100</v>
      </c>
      <c r="G245" s="563">
        <f t="shared" si="112"/>
        <v>170</v>
      </c>
      <c r="H245" s="563">
        <f t="shared" si="113"/>
        <v>170</v>
      </c>
      <c r="I245" s="563">
        <v>0</v>
      </c>
      <c r="J245" s="563">
        <v>170</v>
      </c>
      <c r="K245" s="563">
        <v>0</v>
      </c>
      <c r="L245" s="563">
        <v>0</v>
      </c>
      <c r="M245" s="563">
        <v>0</v>
      </c>
      <c r="N245" s="563">
        <v>0</v>
      </c>
      <c r="O245" s="563">
        <v>0</v>
      </c>
      <c r="P245" s="563">
        <f t="shared" si="114"/>
        <v>0</v>
      </c>
      <c r="Q245" s="563">
        <v>0</v>
      </c>
      <c r="R245" s="564">
        <v>0</v>
      </c>
      <c r="S245" s="563">
        <v>0</v>
      </c>
    </row>
    <row r="246" spans="1:19" ht="13.5" customHeight="1">
      <c r="A246" s="561"/>
      <c r="B246" s="554" t="s">
        <v>350</v>
      </c>
      <c r="C246" s="554"/>
      <c r="D246" s="560">
        <f>SUM(D247:D254)</f>
        <v>294408</v>
      </c>
      <c r="E246" s="560">
        <f>SUM(E247:E254)</f>
        <v>287250.6</v>
      </c>
      <c r="F246" s="560">
        <f aca="true" t="shared" si="115" ref="F246:F308">E246/D246*100</f>
        <v>97.56888399771745</v>
      </c>
      <c r="G246" s="560">
        <f aca="true" t="shared" si="116" ref="G246:S246">SUM(G247:G254)</f>
        <v>287250.6</v>
      </c>
      <c r="H246" s="560">
        <f t="shared" si="116"/>
        <v>283383.6</v>
      </c>
      <c r="I246" s="560">
        <f t="shared" si="116"/>
        <v>617.19</v>
      </c>
      <c r="J246" s="560">
        <f t="shared" si="116"/>
        <v>282766.41000000003</v>
      </c>
      <c r="K246" s="560">
        <f t="shared" si="116"/>
        <v>3867</v>
      </c>
      <c r="L246" s="560">
        <f t="shared" si="116"/>
        <v>0</v>
      </c>
      <c r="M246" s="560">
        <f t="shared" si="116"/>
        <v>0</v>
      </c>
      <c r="N246" s="560">
        <f t="shared" si="116"/>
        <v>0</v>
      </c>
      <c r="O246" s="560">
        <f t="shared" si="116"/>
        <v>0</v>
      </c>
      <c r="P246" s="560">
        <f t="shared" si="116"/>
        <v>0</v>
      </c>
      <c r="Q246" s="560">
        <f t="shared" si="116"/>
        <v>0</v>
      </c>
      <c r="R246" s="560">
        <f t="shared" si="116"/>
        <v>0</v>
      </c>
      <c r="S246" s="560">
        <f t="shared" si="116"/>
        <v>0</v>
      </c>
    </row>
    <row r="247" spans="1:19" ht="13.5" customHeight="1">
      <c r="A247" s="561"/>
      <c r="B247" s="561"/>
      <c r="C247" s="562" t="s">
        <v>139</v>
      </c>
      <c r="D247" s="563">
        <v>5000</v>
      </c>
      <c r="E247" s="563">
        <f aca="true" t="shared" si="117" ref="E247:E254">G247+P247</f>
        <v>3867</v>
      </c>
      <c r="F247" s="563">
        <f aca="true" t="shared" si="118" ref="F247:F253">E247/D247*100</f>
        <v>77.34</v>
      </c>
      <c r="G247" s="563">
        <f aca="true" t="shared" si="119" ref="G247:G254">H247+K247+L247+M247+N247+O247</f>
        <v>3867</v>
      </c>
      <c r="H247" s="563">
        <f aca="true" t="shared" si="120" ref="H247:H254">SUM(I247:J247)</f>
        <v>0</v>
      </c>
      <c r="I247" s="563">
        <v>0</v>
      </c>
      <c r="J247" s="563">
        <v>0</v>
      </c>
      <c r="K247" s="563">
        <v>3867</v>
      </c>
      <c r="L247" s="563">
        <v>0</v>
      </c>
      <c r="M247" s="563">
        <v>0</v>
      </c>
      <c r="N247" s="563">
        <v>0</v>
      </c>
      <c r="O247" s="563">
        <v>0</v>
      </c>
      <c r="P247" s="563">
        <f aca="true" t="shared" si="121" ref="P247:P254">Q247+S247</f>
        <v>0</v>
      </c>
      <c r="Q247" s="563">
        <v>0</v>
      </c>
      <c r="R247" s="564">
        <v>0</v>
      </c>
      <c r="S247" s="563">
        <v>0</v>
      </c>
    </row>
    <row r="248" spans="1:19" ht="13.5" customHeight="1">
      <c r="A248" s="561"/>
      <c r="B248" s="561"/>
      <c r="C248" s="562" t="s">
        <v>297</v>
      </c>
      <c r="D248" s="563">
        <v>20</v>
      </c>
      <c r="E248" s="563">
        <f>G248+P248</f>
        <v>17.19</v>
      </c>
      <c r="F248" s="563">
        <f t="shared" si="118"/>
        <v>85.95</v>
      </c>
      <c r="G248" s="563">
        <f>H248+K248+L248+M248+N248+O248</f>
        <v>17.19</v>
      </c>
      <c r="H248" s="563">
        <f>SUM(I248:J248)</f>
        <v>17.19</v>
      </c>
      <c r="I248" s="563">
        <v>17.19</v>
      </c>
      <c r="J248" s="563">
        <v>0</v>
      </c>
      <c r="K248" s="563">
        <v>0</v>
      </c>
      <c r="L248" s="563">
        <v>0</v>
      </c>
      <c r="M248" s="563">
        <v>0</v>
      </c>
      <c r="N248" s="563">
        <v>0</v>
      </c>
      <c r="O248" s="563">
        <v>0</v>
      </c>
      <c r="P248" s="563">
        <f>Q248+S248</f>
        <v>0</v>
      </c>
      <c r="Q248" s="563">
        <v>0</v>
      </c>
      <c r="R248" s="564">
        <v>0</v>
      </c>
      <c r="S248" s="563">
        <v>0</v>
      </c>
    </row>
    <row r="249" spans="1:19" ht="13.5" customHeight="1">
      <c r="A249" s="561"/>
      <c r="B249" s="561"/>
      <c r="C249" s="562" t="s">
        <v>305</v>
      </c>
      <c r="D249" s="563">
        <v>980</v>
      </c>
      <c r="E249" s="563">
        <f t="shared" si="117"/>
        <v>600</v>
      </c>
      <c r="F249" s="563">
        <f t="shared" si="118"/>
        <v>61.224489795918366</v>
      </c>
      <c r="G249" s="563">
        <f t="shared" si="119"/>
        <v>600</v>
      </c>
      <c r="H249" s="563">
        <f t="shared" si="120"/>
        <v>600</v>
      </c>
      <c r="I249" s="563">
        <v>600</v>
      </c>
      <c r="J249" s="563">
        <v>0</v>
      </c>
      <c r="K249" s="563">
        <v>0</v>
      </c>
      <c r="L249" s="563">
        <v>0</v>
      </c>
      <c r="M249" s="563">
        <v>0</v>
      </c>
      <c r="N249" s="563">
        <v>0</v>
      </c>
      <c r="O249" s="563">
        <v>0</v>
      </c>
      <c r="P249" s="563">
        <f t="shared" si="121"/>
        <v>0</v>
      </c>
      <c r="Q249" s="563">
        <v>0</v>
      </c>
      <c r="R249" s="564">
        <v>0</v>
      </c>
      <c r="S249" s="563">
        <v>0</v>
      </c>
    </row>
    <row r="250" spans="1:19" ht="13.5" customHeight="1">
      <c r="A250" s="561"/>
      <c r="B250" s="561"/>
      <c r="C250" s="562" t="s">
        <v>123</v>
      </c>
      <c r="D250" s="563">
        <v>4286</v>
      </c>
      <c r="E250" s="563">
        <f t="shared" si="117"/>
        <v>3455.68</v>
      </c>
      <c r="F250" s="563">
        <f t="shared" si="118"/>
        <v>80.62715818945404</v>
      </c>
      <c r="G250" s="563">
        <f t="shared" si="119"/>
        <v>3455.68</v>
      </c>
      <c r="H250" s="563">
        <f t="shared" si="120"/>
        <v>3455.68</v>
      </c>
      <c r="I250" s="563">
        <v>0</v>
      </c>
      <c r="J250" s="563">
        <v>3455.68</v>
      </c>
      <c r="K250" s="563">
        <v>0</v>
      </c>
      <c r="L250" s="563">
        <v>0</v>
      </c>
      <c r="M250" s="563">
        <v>0</v>
      </c>
      <c r="N250" s="563">
        <v>0</v>
      </c>
      <c r="O250" s="563">
        <v>0</v>
      </c>
      <c r="P250" s="563">
        <f t="shared" si="121"/>
        <v>0</v>
      </c>
      <c r="Q250" s="563">
        <v>0</v>
      </c>
      <c r="R250" s="564">
        <v>0</v>
      </c>
      <c r="S250" s="563">
        <v>0</v>
      </c>
    </row>
    <row r="251" spans="1:19" ht="13.5" customHeight="1">
      <c r="A251" s="561"/>
      <c r="B251" s="561"/>
      <c r="C251" s="562" t="s">
        <v>125</v>
      </c>
      <c r="D251" s="563">
        <v>30354</v>
      </c>
      <c r="E251" s="563">
        <f t="shared" si="117"/>
        <v>25563.89</v>
      </c>
      <c r="F251" s="563">
        <f t="shared" si="118"/>
        <v>84.21918033867036</v>
      </c>
      <c r="G251" s="563">
        <f t="shared" si="119"/>
        <v>25563.89</v>
      </c>
      <c r="H251" s="563">
        <f t="shared" si="120"/>
        <v>25563.89</v>
      </c>
      <c r="I251" s="563">
        <v>0</v>
      </c>
      <c r="J251" s="563">
        <f>13803.55+11760.34</f>
        <v>25563.89</v>
      </c>
      <c r="K251" s="563">
        <v>0</v>
      </c>
      <c r="L251" s="563">
        <v>0</v>
      </c>
      <c r="M251" s="563">
        <v>0</v>
      </c>
      <c r="N251" s="563">
        <v>0</v>
      </c>
      <c r="O251" s="563">
        <v>0</v>
      </c>
      <c r="P251" s="563">
        <f t="shared" si="121"/>
        <v>0</v>
      </c>
      <c r="Q251" s="563">
        <v>0</v>
      </c>
      <c r="R251" s="564">
        <v>0</v>
      </c>
      <c r="S251" s="563">
        <v>0</v>
      </c>
    </row>
    <row r="252" spans="1:19" ht="13.5" customHeight="1">
      <c r="A252" s="561"/>
      <c r="B252" s="561"/>
      <c r="C252" s="562" t="s">
        <v>332</v>
      </c>
      <c r="D252" s="563">
        <v>5200</v>
      </c>
      <c r="E252" s="563">
        <f>G252+P252</f>
        <v>5199.99</v>
      </c>
      <c r="F252" s="563">
        <f t="shared" si="118"/>
        <v>99.99980769230768</v>
      </c>
      <c r="G252" s="563">
        <f>H252+K252+L252+M252+N252+O252</f>
        <v>5199.99</v>
      </c>
      <c r="H252" s="563">
        <f>SUM(I252:J252)</f>
        <v>5199.99</v>
      </c>
      <c r="I252" s="563">
        <v>0</v>
      </c>
      <c r="J252" s="563">
        <v>5199.99</v>
      </c>
      <c r="K252" s="563">
        <v>0</v>
      </c>
      <c r="L252" s="563">
        <v>0</v>
      </c>
      <c r="M252" s="563">
        <v>0</v>
      </c>
      <c r="N252" s="563">
        <v>0</v>
      </c>
      <c r="O252" s="563">
        <v>0</v>
      </c>
      <c r="P252" s="563">
        <f>Q252+S252</f>
        <v>0</v>
      </c>
      <c r="Q252" s="563">
        <v>0</v>
      </c>
      <c r="R252" s="564">
        <v>0</v>
      </c>
      <c r="S252" s="563">
        <v>0</v>
      </c>
    </row>
    <row r="253" spans="1:19" ht="13.5" customHeight="1">
      <c r="A253" s="561"/>
      <c r="B253" s="561"/>
      <c r="C253" s="562" t="s">
        <v>304</v>
      </c>
      <c r="D253" s="563">
        <v>215322</v>
      </c>
      <c r="E253" s="563">
        <f t="shared" si="117"/>
        <v>215321.85</v>
      </c>
      <c r="F253" s="563">
        <f t="shared" si="118"/>
        <v>99.9999303368908</v>
      </c>
      <c r="G253" s="563">
        <f t="shared" si="119"/>
        <v>215321.85</v>
      </c>
      <c r="H253" s="563">
        <f t="shared" si="120"/>
        <v>215321.85</v>
      </c>
      <c r="I253" s="563">
        <v>0</v>
      </c>
      <c r="J253" s="563">
        <v>215321.85</v>
      </c>
      <c r="K253" s="563">
        <v>0</v>
      </c>
      <c r="L253" s="563">
        <v>0</v>
      </c>
      <c r="M253" s="563">
        <v>0</v>
      </c>
      <c r="N253" s="563">
        <v>0</v>
      </c>
      <c r="O253" s="563">
        <v>0</v>
      </c>
      <c r="P253" s="563">
        <f t="shared" si="121"/>
        <v>0</v>
      </c>
      <c r="Q253" s="563">
        <v>0</v>
      </c>
      <c r="R253" s="564">
        <v>0</v>
      </c>
      <c r="S253" s="563">
        <v>0</v>
      </c>
    </row>
    <row r="254" spans="1:19" ht="13.5" customHeight="1">
      <c r="A254" s="561"/>
      <c r="B254" s="561"/>
      <c r="C254" s="562" t="s">
        <v>333</v>
      </c>
      <c r="D254" s="563">
        <v>33246</v>
      </c>
      <c r="E254" s="563">
        <f t="shared" si="117"/>
        <v>33225</v>
      </c>
      <c r="F254" s="563">
        <f t="shared" si="115"/>
        <v>99.9368345064068</v>
      </c>
      <c r="G254" s="563">
        <f t="shared" si="119"/>
        <v>33225</v>
      </c>
      <c r="H254" s="563">
        <f t="shared" si="120"/>
        <v>33225</v>
      </c>
      <c r="I254" s="563">
        <v>0</v>
      </c>
      <c r="J254" s="563">
        <v>33225</v>
      </c>
      <c r="K254" s="563">
        <v>0</v>
      </c>
      <c r="L254" s="563">
        <v>0</v>
      </c>
      <c r="M254" s="563">
        <v>0</v>
      </c>
      <c r="N254" s="563">
        <v>0</v>
      </c>
      <c r="O254" s="563">
        <v>0</v>
      </c>
      <c r="P254" s="563">
        <f t="shared" si="121"/>
        <v>0</v>
      </c>
      <c r="Q254" s="563">
        <v>0</v>
      </c>
      <c r="R254" s="564">
        <v>0</v>
      </c>
      <c r="S254" s="563">
        <v>0</v>
      </c>
    </row>
    <row r="255" spans="1:19" ht="13.5" customHeight="1">
      <c r="A255" s="557" t="s">
        <v>41</v>
      </c>
      <c r="B255" s="557"/>
      <c r="C255" s="554"/>
      <c r="D255" s="560">
        <f>D256+D265+D263+D261</f>
        <v>380839</v>
      </c>
      <c r="E255" s="560">
        <f>E256+E265+E263+E261</f>
        <v>349658.48</v>
      </c>
      <c r="F255" s="560">
        <f t="shared" si="115"/>
        <v>91.8126767479171</v>
      </c>
      <c r="G255" s="560">
        <f aca="true" t="shared" si="122" ref="G255:S255">G256+G265+G263+G261</f>
        <v>97861.84999999999</v>
      </c>
      <c r="H255" s="560">
        <f t="shared" si="122"/>
        <v>81917.34999999999</v>
      </c>
      <c r="I255" s="560">
        <f t="shared" si="122"/>
        <v>1200</v>
      </c>
      <c r="J255" s="560">
        <f t="shared" si="122"/>
        <v>80717.34999999999</v>
      </c>
      <c r="K255" s="560">
        <f t="shared" si="122"/>
        <v>0</v>
      </c>
      <c r="L255" s="560">
        <f t="shared" si="122"/>
        <v>15944.5</v>
      </c>
      <c r="M255" s="560">
        <f t="shared" si="122"/>
        <v>0</v>
      </c>
      <c r="N255" s="560">
        <f t="shared" si="122"/>
        <v>0</v>
      </c>
      <c r="O255" s="560">
        <f t="shared" si="122"/>
        <v>0</v>
      </c>
      <c r="P255" s="560">
        <f t="shared" si="122"/>
        <v>251796.63</v>
      </c>
      <c r="Q255" s="560">
        <f t="shared" si="122"/>
        <v>251796.63</v>
      </c>
      <c r="R255" s="560">
        <f t="shared" si="122"/>
        <v>0</v>
      </c>
      <c r="S255" s="560">
        <f t="shared" si="122"/>
        <v>0</v>
      </c>
    </row>
    <row r="256" spans="1:19" ht="13.5" customHeight="1">
      <c r="A256" s="557"/>
      <c r="B256" s="554" t="s">
        <v>58</v>
      </c>
      <c r="C256" s="554"/>
      <c r="D256" s="560">
        <f>SUM(D257:D260)</f>
        <v>29519</v>
      </c>
      <c r="E256" s="560">
        <f>SUM(E257:E260)</f>
        <v>29517.12</v>
      </c>
      <c r="F256" s="560">
        <f t="shared" si="115"/>
        <v>99.9936312205698</v>
      </c>
      <c r="G256" s="560">
        <f>SUM(G257:G260)</f>
        <v>27717.12</v>
      </c>
      <c r="H256" s="560">
        <f aca="true" t="shared" si="123" ref="H256:S256">SUM(H257:H260)</f>
        <v>17877.12</v>
      </c>
      <c r="I256" s="560">
        <f t="shared" si="123"/>
        <v>0</v>
      </c>
      <c r="J256" s="560">
        <f t="shared" si="123"/>
        <v>17877.12</v>
      </c>
      <c r="K256" s="560">
        <f t="shared" si="123"/>
        <v>0</v>
      </c>
      <c r="L256" s="560">
        <f t="shared" si="123"/>
        <v>9840</v>
      </c>
      <c r="M256" s="560">
        <f t="shared" si="123"/>
        <v>0</v>
      </c>
      <c r="N256" s="560">
        <f t="shared" si="123"/>
        <v>0</v>
      </c>
      <c r="O256" s="560">
        <f t="shared" si="123"/>
        <v>0</v>
      </c>
      <c r="P256" s="560">
        <f t="shared" si="123"/>
        <v>1800</v>
      </c>
      <c r="Q256" s="560">
        <f t="shared" si="123"/>
        <v>1800</v>
      </c>
      <c r="R256" s="560">
        <f t="shared" si="123"/>
        <v>0</v>
      </c>
      <c r="S256" s="560">
        <f t="shared" si="123"/>
        <v>0</v>
      </c>
    </row>
    <row r="257" spans="1:19" ht="13.5" customHeight="1">
      <c r="A257" s="561"/>
      <c r="B257" s="561"/>
      <c r="C257" s="562" t="s">
        <v>323</v>
      </c>
      <c r="D257" s="563">
        <v>9840</v>
      </c>
      <c r="E257" s="563">
        <f>G257+P257</f>
        <v>9840</v>
      </c>
      <c r="F257" s="563">
        <f t="shared" si="115"/>
        <v>100</v>
      </c>
      <c r="G257" s="563">
        <f>H257+K257+L257+M257+N257+O257</f>
        <v>9840</v>
      </c>
      <c r="H257" s="563">
        <f>SUM(I257:J257)</f>
        <v>0</v>
      </c>
      <c r="I257" s="563">
        <v>0</v>
      </c>
      <c r="J257" s="563">
        <v>0</v>
      </c>
      <c r="K257" s="563">
        <v>0</v>
      </c>
      <c r="L257" s="563">
        <v>9840</v>
      </c>
      <c r="M257" s="563">
        <v>0</v>
      </c>
      <c r="N257" s="563">
        <v>0</v>
      </c>
      <c r="O257" s="563">
        <v>0</v>
      </c>
      <c r="P257" s="563">
        <f>Q257+S257</f>
        <v>0</v>
      </c>
      <c r="Q257" s="563">
        <v>0</v>
      </c>
      <c r="R257" s="564">
        <v>0</v>
      </c>
      <c r="S257" s="563">
        <v>0</v>
      </c>
    </row>
    <row r="258" spans="1:19" ht="13.5" customHeight="1">
      <c r="A258" s="561"/>
      <c r="B258" s="561"/>
      <c r="C258" s="562" t="s">
        <v>549</v>
      </c>
      <c r="D258" s="563">
        <v>6380</v>
      </c>
      <c r="E258" s="563">
        <f>G258+P258</f>
        <v>6378.12</v>
      </c>
      <c r="F258" s="563">
        <f aca="true" t="shared" si="124" ref="F258:F264">E258/D258*100</f>
        <v>99.9705329153605</v>
      </c>
      <c r="G258" s="563">
        <f>H258+K258+L258+M258+N258+O258</f>
        <v>6378.12</v>
      </c>
      <c r="H258" s="563">
        <f>SUM(I258:J258)</f>
        <v>6378.12</v>
      </c>
      <c r="I258" s="563">
        <v>0</v>
      </c>
      <c r="J258" s="563">
        <v>6378.12</v>
      </c>
      <c r="K258" s="563">
        <v>0</v>
      </c>
      <c r="L258" s="563">
        <v>0</v>
      </c>
      <c r="M258" s="563">
        <v>0</v>
      </c>
      <c r="N258" s="563">
        <v>0</v>
      </c>
      <c r="O258" s="563">
        <v>0</v>
      </c>
      <c r="P258" s="563">
        <f>Q258+S258</f>
        <v>0</v>
      </c>
      <c r="Q258" s="563">
        <v>0</v>
      </c>
      <c r="R258" s="564">
        <v>0</v>
      </c>
      <c r="S258" s="563">
        <v>0</v>
      </c>
    </row>
    <row r="259" spans="1:19" ht="13.5" customHeight="1">
      <c r="A259" s="561"/>
      <c r="B259" s="561"/>
      <c r="C259" s="562" t="s">
        <v>125</v>
      </c>
      <c r="D259" s="563">
        <v>11499</v>
      </c>
      <c r="E259" s="563">
        <f>G259+P259</f>
        <v>11499</v>
      </c>
      <c r="F259" s="563">
        <f t="shared" si="124"/>
        <v>100</v>
      </c>
      <c r="G259" s="563">
        <f>H259+K259+L259+M259+N259+O259</f>
        <v>11499</v>
      </c>
      <c r="H259" s="563">
        <f>SUM(I259:J259)</f>
        <v>11499</v>
      </c>
      <c r="I259" s="563">
        <v>0</v>
      </c>
      <c r="J259" s="563">
        <v>11499</v>
      </c>
      <c r="K259" s="563">
        <v>0</v>
      </c>
      <c r="L259" s="563">
        <v>0</v>
      </c>
      <c r="M259" s="563">
        <v>0</v>
      </c>
      <c r="N259" s="563">
        <v>0</v>
      </c>
      <c r="O259" s="563">
        <v>0</v>
      </c>
      <c r="P259" s="563">
        <f>Q259+S259</f>
        <v>0</v>
      </c>
      <c r="Q259" s="563">
        <v>0</v>
      </c>
      <c r="R259" s="564">
        <v>0</v>
      </c>
      <c r="S259" s="563">
        <v>0</v>
      </c>
    </row>
    <row r="260" spans="1:19" ht="13.5" customHeight="1">
      <c r="A260" s="561"/>
      <c r="B260" s="561"/>
      <c r="C260" s="562" t="s">
        <v>320</v>
      </c>
      <c r="D260" s="563">
        <v>1800</v>
      </c>
      <c r="E260" s="563">
        <f>G260+P260</f>
        <v>1800</v>
      </c>
      <c r="F260" s="563">
        <f t="shared" si="124"/>
        <v>100</v>
      </c>
      <c r="G260" s="563">
        <f>H260+K260+L260+M260+N260+O260</f>
        <v>0</v>
      </c>
      <c r="H260" s="563">
        <f>SUM(I260:J260)</f>
        <v>0</v>
      </c>
      <c r="I260" s="563">
        <v>0</v>
      </c>
      <c r="J260" s="563">
        <v>0</v>
      </c>
      <c r="K260" s="563">
        <v>0</v>
      </c>
      <c r="L260" s="563">
        <v>0</v>
      </c>
      <c r="M260" s="563">
        <v>0</v>
      </c>
      <c r="N260" s="563">
        <v>0</v>
      </c>
      <c r="O260" s="563">
        <v>0</v>
      </c>
      <c r="P260" s="563">
        <f>Q260+S260</f>
        <v>1800</v>
      </c>
      <c r="Q260" s="563">
        <v>1800</v>
      </c>
      <c r="R260" s="564">
        <v>0</v>
      </c>
      <c r="S260" s="563">
        <v>0</v>
      </c>
    </row>
    <row r="261" spans="1:19" ht="13.5" customHeight="1">
      <c r="A261" s="561"/>
      <c r="B261" s="554" t="s">
        <v>643</v>
      </c>
      <c r="C261" s="554"/>
      <c r="D261" s="560">
        <f>SUM(D262:D262)</f>
        <v>26730</v>
      </c>
      <c r="E261" s="560">
        <f>SUM(E262:E262)</f>
        <v>6104.5</v>
      </c>
      <c r="F261" s="560">
        <f t="shared" si="124"/>
        <v>22.837635615413394</v>
      </c>
      <c r="G261" s="560">
        <f aca="true" t="shared" si="125" ref="G261:S263">SUM(G262:G262)</f>
        <v>6104.5</v>
      </c>
      <c r="H261" s="560">
        <f t="shared" si="125"/>
        <v>0</v>
      </c>
      <c r="I261" s="560">
        <f t="shared" si="125"/>
        <v>0</v>
      </c>
      <c r="J261" s="560">
        <f t="shared" si="125"/>
        <v>0</v>
      </c>
      <c r="K261" s="560">
        <f t="shared" si="125"/>
        <v>0</v>
      </c>
      <c r="L261" s="560">
        <f t="shared" si="125"/>
        <v>6104.5</v>
      </c>
      <c r="M261" s="560">
        <f t="shared" si="125"/>
        <v>0</v>
      </c>
      <c r="N261" s="560">
        <f t="shared" si="125"/>
        <v>0</v>
      </c>
      <c r="O261" s="560">
        <f t="shared" si="125"/>
        <v>0</v>
      </c>
      <c r="P261" s="560">
        <f t="shared" si="125"/>
        <v>0</v>
      </c>
      <c r="Q261" s="560">
        <f t="shared" si="125"/>
        <v>0</v>
      </c>
      <c r="R261" s="560">
        <f t="shared" si="125"/>
        <v>0</v>
      </c>
      <c r="S261" s="560">
        <f t="shared" si="125"/>
        <v>0</v>
      </c>
    </row>
    <row r="262" spans="1:19" ht="13.5" customHeight="1">
      <c r="A262" s="561"/>
      <c r="B262" s="561"/>
      <c r="C262" s="562" t="s">
        <v>352</v>
      </c>
      <c r="D262" s="563">
        <v>26730</v>
      </c>
      <c r="E262" s="563">
        <f>G262+P262</f>
        <v>6104.5</v>
      </c>
      <c r="F262" s="563">
        <f t="shared" si="124"/>
        <v>22.837635615413394</v>
      </c>
      <c r="G262" s="563">
        <f>H262+K262+L262+M262+N262+O262</f>
        <v>6104.5</v>
      </c>
      <c r="H262" s="563">
        <f>SUM(I262:J262)</f>
        <v>0</v>
      </c>
      <c r="I262" s="563">
        <v>0</v>
      </c>
      <c r="J262" s="563">
        <v>0</v>
      </c>
      <c r="K262" s="563">
        <v>0</v>
      </c>
      <c r="L262" s="563">
        <v>6104.5</v>
      </c>
      <c r="M262" s="563">
        <v>0</v>
      </c>
      <c r="N262" s="563">
        <v>0</v>
      </c>
      <c r="O262" s="563">
        <v>0</v>
      </c>
      <c r="P262" s="563">
        <f>Q262+S262</f>
        <v>0</v>
      </c>
      <c r="Q262" s="563">
        <v>0</v>
      </c>
      <c r="R262" s="564">
        <v>0</v>
      </c>
      <c r="S262" s="563">
        <v>0</v>
      </c>
    </row>
    <row r="263" spans="1:19" ht="13.5" customHeight="1">
      <c r="A263" s="561"/>
      <c r="B263" s="554" t="s">
        <v>509</v>
      </c>
      <c r="C263" s="554"/>
      <c r="D263" s="560">
        <f>SUM(D264:D264)</f>
        <v>250000</v>
      </c>
      <c r="E263" s="560">
        <f>SUM(E264:E264)</f>
        <v>249996.63</v>
      </c>
      <c r="F263" s="560">
        <f t="shared" si="124"/>
        <v>99.99865199999999</v>
      </c>
      <c r="G263" s="560">
        <f t="shared" si="125"/>
        <v>0</v>
      </c>
      <c r="H263" s="560">
        <f t="shared" si="125"/>
        <v>0</v>
      </c>
      <c r="I263" s="560">
        <f t="shared" si="125"/>
        <v>0</v>
      </c>
      <c r="J263" s="560">
        <f t="shared" si="125"/>
        <v>0</v>
      </c>
      <c r="K263" s="560">
        <f t="shared" si="125"/>
        <v>0</v>
      </c>
      <c r="L263" s="560">
        <f t="shared" si="125"/>
        <v>0</v>
      </c>
      <c r="M263" s="560">
        <f t="shared" si="125"/>
        <v>0</v>
      </c>
      <c r="N263" s="560">
        <f t="shared" si="125"/>
        <v>0</v>
      </c>
      <c r="O263" s="560">
        <f t="shared" si="125"/>
        <v>0</v>
      </c>
      <c r="P263" s="560">
        <f t="shared" si="125"/>
        <v>249996.63</v>
      </c>
      <c r="Q263" s="560">
        <f t="shared" si="125"/>
        <v>249996.63</v>
      </c>
      <c r="R263" s="560">
        <f t="shared" si="125"/>
        <v>0</v>
      </c>
      <c r="S263" s="560">
        <f t="shared" si="125"/>
        <v>0</v>
      </c>
    </row>
    <row r="264" spans="1:19" ht="13.5" customHeight="1">
      <c r="A264" s="561"/>
      <c r="B264" s="561"/>
      <c r="C264" s="562" t="s">
        <v>510</v>
      </c>
      <c r="D264" s="563">
        <v>250000</v>
      </c>
      <c r="E264" s="563">
        <f>G264+P264</f>
        <v>249996.63</v>
      </c>
      <c r="F264" s="563">
        <f t="shared" si="124"/>
        <v>99.99865199999999</v>
      </c>
      <c r="G264" s="563">
        <f>H264+K264+L264+M264+N264+O264</f>
        <v>0</v>
      </c>
      <c r="H264" s="563">
        <f>SUM(I264:J264)</f>
        <v>0</v>
      </c>
      <c r="I264" s="563">
        <v>0</v>
      </c>
      <c r="J264" s="563">
        <v>0</v>
      </c>
      <c r="K264" s="563">
        <v>0</v>
      </c>
      <c r="L264" s="563">
        <v>0</v>
      </c>
      <c r="M264" s="563">
        <v>0</v>
      </c>
      <c r="N264" s="563">
        <v>0</v>
      </c>
      <c r="O264" s="563">
        <v>0</v>
      </c>
      <c r="P264" s="563">
        <f>Q264+S264</f>
        <v>249996.63</v>
      </c>
      <c r="Q264" s="563">
        <v>249996.63</v>
      </c>
      <c r="R264" s="564">
        <v>0</v>
      </c>
      <c r="S264" s="563">
        <v>0</v>
      </c>
    </row>
    <row r="265" spans="1:19" ht="13.5" customHeight="1">
      <c r="A265" s="561"/>
      <c r="B265" s="554" t="s">
        <v>82</v>
      </c>
      <c r="C265" s="554"/>
      <c r="D265" s="560">
        <f>SUM(D266:D271)</f>
        <v>74590</v>
      </c>
      <c r="E265" s="560">
        <f>SUM(E266:E271)</f>
        <v>64040.229999999996</v>
      </c>
      <c r="F265" s="560">
        <f t="shared" si="115"/>
        <v>85.856321222684</v>
      </c>
      <c r="G265" s="560">
        <f aca="true" t="shared" si="126" ref="G265:S265">SUM(G266:G271)</f>
        <v>64040.229999999996</v>
      </c>
      <c r="H265" s="560">
        <f t="shared" si="126"/>
        <v>64040.229999999996</v>
      </c>
      <c r="I265" s="560">
        <f t="shared" si="126"/>
        <v>1200</v>
      </c>
      <c r="J265" s="560">
        <f t="shared" si="126"/>
        <v>62840.229999999996</v>
      </c>
      <c r="K265" s="560">
        <f t="shared" si="126"/>
        <v>0</v>
      </c>
      <c r="L265" s="560">
        <f t="shared" si="126"/>
        <v>0</v>
      </c>
      <c r="M265" s="560">
        <f t="shared" si="126"/>
        <v>0</v>
      </c>
      <c r="N265" s="560">
        <f t="shared" si="126"/>
        <v>0</v>
      </c>
      <c r="O265" s="560">
        <f t="shared" si="126"/>
        <v>0</v>
      </c>
      <c r="P265" s="560">
        <f t="shared" si="126"/>
        <v>0</v>
      </c>
      <c r="Q265" s="560">
        <f t="shared" si="126"/>
        <v>0</v>
      </c>
      <c r="R265" s="560">
        <f t="shared" si="126"/>
        <v>0</v>
      </c>
      <c r="S265" s="560">
        <f t="shared" si="126"/>
        <v>0</v>
      </c>
    </row>
    <row r="266" spans="1:19" ht="13.5" customHeight="1">
      <c r="A266" s="561"/>
      <c r="B266" s="561"/>
      <c r="C266" s="562" t="s">
        <v>297</v>
      </c>
      <c r="D266" s="563">
        <v>800</v>
      </c>
      <c r="E266" s="563">
        <f aca="true" t="shared" si="127" ref="E266:E271">G266+P266</f>
        <v>0</v>
      </c>
      <c r="F266" s="563">
        <f aca="true" t="shared" si="128" ref="F266:F271">E266/D266*100</f>
        <v>0</v>
      </c>
      <c r="G266" s="563">
        <f aca="true" t="shared" si="129" ref="G266:G271">H266+K266+L266+M266+N266+O266</f>
        <v>0</v>
      </c>
      <c r="H266" s="563">
        <f aca="true" t="shared" si="130" ref="H266:H271">SUM(I266:J266)</f>
        <v>0</v>
      </c>
      <c r="I266" s="563">
        <v>0</v>
      </c>
      <c r="J266" s="563">
        <v>0</v>
      </c>
      <c r="K266" s="563">
        <v>0</v>
      </c>
      <c r="L266" s="563">
        <v>0</v>
      </c>
      <c r="M266" s="563">
        <v>0</v>
      </c>
      <c r="N266" s="563">
        <v>0</v>
      </c>
      <c r="O266" s="563">
        <v>0</v>
      </c>
      <c r="P266" s="563">
        <f aca="true" t="shared" si="131" ref="P266:P271">Q266+S266</f>
        <v>0</v>
      </c>
      <c r="Q266" s="563">
        <v>0</v>
      </c>
      <c r="R266" s="564">
        <v>0</v>
      </c>
      <c r="S266" s="563">
        <v>0</v>
      </c>
    </row>
    <row r="267" spans="1:19" ht="13.5" customHeight="1">
      <c r="A267" s="561"/>
      <c r="B267" s="561"/>
      <c r="C267" s="562" t="s">
        <v>298</v>
      </c>
      <c r="D267" s="563">
        <v>200</v>
      </c>
      <c r="E267" s="563">
        <f t="shared" si="127"/>
        <v>0</v>
      </c>
      <c r="F267" s="563">
        <f t="shared" si="128"/>
        <v>0</v>
      </c>
      <c r="G267" s="563">
        <f t="shared" si="129"/>
        <v>0</v>
      </c>
      <c r="H267" s="563">
        <f t="shared" si="130"/>
        <v>0</v>
      </c>
      <c r="I267" s="563">
        <v>0</v>
      </c>
      <c r="J267" s="563">
        <v>0</v>
      </c>
      <c r="K267" s="563">
        <v>0</v>
      </c>
      <c r="L267" s="563">
        <v>0</v>
      </c>
      <c r="M267" s="563">
        <v>0</v>
      </c>
      <c r="N267" s="563">
        <v>0</v>
      </c>
      <c r="O267" s="563">
        <v>0</v>
      </c>
      <c r="P267" s="563">
        <f t="shared" si="131"/>
        <v>0</v>
      </c>
      <c r="Q267" s="563">
        <v>0</v>
      </c>
      <c r="R267" s="564">
        <v>0</v>
      </c>
      <c r="S267" s="563">
        <v>0</v>
      </c>
    </row>
    <row r="268" spans="1:19" ht="13.5" customHeight="1">
      <c r="A268" s="561"/>
      <c r="B268" s="561"/>
      <c r="C268" s="562" t="s">
        <v>305</v>
      </c>
      <c r="D268" s="563">
        <v>1500</v>
      </c>
      <c r="E268" s="563">
        <f t="shared" si="127"/>
        <v>1200</v>
      </c>
      <c r="F268" s="563">
        <f t="shared" si="128"/>
        <v>80</v>
      </c>
      <c r="G268" s="563">
        <f t="shared" si="129"/>
        <v>1200</v>
      </c>
      <c r="H268" s="563">
        <f t="shared" si="130"/>
        <v>1200</v>
      </c>
      <c r="I268" s="563">
        <v>1200</v>
      </c>
      <c r="J268" s="563">
        <v>0</v>
      </c>
      <c r="K268" s="563">
        <v>0</v>
      </c>
      <c r="L268" s="563">
        <v>0</v>
      </c>
      <c r="M268" s="563">
        <v>0</v>
      </c>
      <c r="N268" s="563">
        <v>0</v>
      </c>
      <c r="O268" s="563">
        <v>0</v>
      </c>
      <c r="P268" s="563">
        <f t="shared" si="131"/>
        <v>0</v>
      </c>
      <c r="Q268" s="563">
        <v>0</v>
      </c>
      <c r="R268" s="564">
        <v>0</v>
      </c>
      <c r="S268" s="563">
        <v>0</v>
      </c>
    </row>
    <row r="269" spans="1:19" ht="13.5" customHeight="1">
      <c r="A269" s="561"/>
      <c r="B269" s="561"/>
      <c r="C269" s="562" t="s">
        <v>123</v>
      </c>
      <c r="D269" s="563">
        <v>36152</v>
      </c>
      <c r="E269" s="563">
        <f t="shared" si="127"/>
        <v>29884.95</v>
      </c>
      <c r="F269" s="563">
        <f t="shared" si="128"/>
        <v>82.66472117725161</v>
      </c>
      <c r="G269" s="563">
        <f t="shared" si="129"/>
        <v>29884.95</v>
      </c>
      <c r="H269" s="563">
        <f t="shared" si="130"/>
        <v>29884.95</v>
      </c>
      <c r="I269" s="563">
        <v>0</v>
      </c>
      <c r="J269" s="563">
        <v>29884.95</v>
      </c>
      <c r="K269" s="563">
        <v>0</v>
      </c>
      <c r="L269" s="563">
        <v>0</v>
      </c>
      <c r="M269" s="563">
        <v>0</v>
      </c>
      <c r="N269" s="563">
        <v>0</v>
      </c>
      <c r="O269" s="563">
        <v>0</v>
      </c>
      <c r="P269" s="563">
        <f t="shared" si="131"/>
        <v>0</v>
      </c>
      <c r="Q269" s="563">
        <v>0</v>
      </c>
      <c r="R269" s="564">
        <v>0</v>
      </c>
      <c r="S269" s="563">
        <v>0</v>
      </c>
    </row>
    <row r="270" spans="1:19" ht="13.5" customHeight="1">
      <c r="A270" s="561"/>
      <c r="B270" s="561"/>
      <c r="C270" s="562" t="s">
        <v>125</v>
      </c>
      <c r="D270" s="563">
        <v>35468</v>
      </c>
      <c r="E270" s="563">
        <f t="shared" si="127"/>
        <v>32493.28</v>
      </c>
      <c r="F270" s="563">
        <f t="shared" si="128"/>
        <v>91.61294688169617</v>
      </c>
      <c r="G270" s="563">
        <f t="shared" si="129"/>
        <v>32493.28</v>
      </c>
      <c r="H270" s="563">
        <f t="shared" si="130"/>
        <v>32493.28</v>
      </c>
      <c r="I270" s="563">
        <v>0</v>
      </c>
      <c r="J270" s="563">
        <v>32493.28</v>
      </c>
      <c r="K270" s="563">
        <v>0</v>
      </c>
      <c r="L270" s="563">
        <v>0</v>
      </c>
      <c r="M270" s="563">
        <v>0</v>
      </c>
      <c r="N270" s="563">
        <v>0</v>
      </c>
      <c r="O270" s="563">
        <v>0</v>
      </c>
      <c r="P270" s="563">
        <f t="shared" si="131"/>
        <v>0</v>
      </c>
      <c r="Q270" s="563">
        <v>0</v>
      </c>
      <c r="R270" s="564">
        <v>0</v>
      </c>
      <c r="S270" s="563">
        <v>0</v>
      </c>
    </row>
    <row r="271" spans="1:19" ht="13.5" customHeight="1">
      <c r="A271" s="561"/>
      <c r="B271" s="561"/>
      <c r="C271" s="562" t="s">
        <v>319</v>
      </c>
      <c r="D271" s="563">
        <v>470</v>
      </c>
      <c r="E271" s="563">
        <f t="shared" si="127"/>
        <v>462</v>
      </c>
      <c r="F271" s="563">
        <f t="shared" si="128"/>
        <v>98.29787234042553</v>
      </c>
      <c r="G271" s="563">
        <f t="shared" si="129"/>
        <v>462</v>
      </c>
      <c r="H271" s="563">
        <f t="shared" si="130"/>
        <v>462</v>
      </c>
      <c r="I271" s="563">
        <v>0</v>
      </c>
      <c r="J271" s="563">
        <v>462</v>
      </c>
      <c r="K271" s="563">
        <v>0</v>
      </c>
      <c r="L271" s="563">
        <v>0</v>
      </c>
      <c r="M271" s="563">
        <v>0</v>
      </c>
      <c r="N271" s="563">
        <v>0</v>
      </c>
      <c r="O271" s="563">
        <v>0</v>
      </c>
      <c r="P271" s="563">
        <f t="shared" si="131"/>
        <v>0</v>
      </c>
      <c r="Q271" s="563">
        <v>0</v>
      </c>
      <c r="R271" s="564">
        <v>0</v>
      </c>
      <c r="S271" s="563">
        <v>0</v>
      </c>
    </row>
    <row r="272" spans="1:19" ht="13.5" customHeight="1">
      <c r="A272" s="557" t="s">
        <v>94</v>
      </c>
      <c r="B272" s="557"/>
      <c r="C272" s="554"/>
      <c r="D272" s="560">
        <f>D273+D296+D309+D326</f>
        <v>7553125</v>
      </c>
      <c r="E272" s="560">
        <f>E273+E296+E309+E326</f>
        <v>7362127.630000001</v>
      </c>
      <c r="F272" s="560">
        <f t="shared" si="115"/>
        <v>97.47128016549442</v>
      </c>
      <c r="G272" s="560">
        <f aca="true" t="shared" si="132" ref="G272:S272">G273+G296+G309+G326</f>
        <v>7362127.630000001</v>
      </c>
      <c r="H272" s="560">
        <f t="shared" si="132"/>
        <v>2652203.65</v>
      </c>
      <c r="I272" s="560">
        <f t="shared" si="132"/>
        <v>2167536.17</v>
      </c>
      <c r="J272" s="560">
        <f t="shared" si="132"/>
        <v>484667.48</v>
      </c>
      <c r="K272" s="560">
        <f t="shared" si="132"/>
        <v>1720209.3900000001</v>
      </c>
      <c r="L272" s="560">
        <f t="shared" si="132"/>
        <v>2989714.59</v>
      </c>
      <c r="M272" s="560">
        <f t="shared" si="132"/>
        <v>0</v>
      </c>
      <c r="N272" s="560">
        <f t="shared" si="132"/>
        <v>0</v>
      </c>
      <c r="O272" s="560">
        <f t="shared" si="132"/>
        <v>0</v>
      </c>
      <c r="P272" s="560">
        <f t="shared" si="132"/>
        <v>0</v>
      </c>
      <c r="Q272" s="560">
        <f t="shared" si="132"/>
        <v>0</v>
      </c>
      <c r="R272" s="560">
        <f t="shared" si="132"/>
        <v>0</v>
      </c>
      <c r="S272" s="560">
        <f t="shared" si="132"/>
        <v>0</v>
      </c>
    </row>
    <row r="273" spans="1:19" ht="13.5" customHeight="1">
      <c r="A273" s="557"/>
      <c r="B273" s="554" t="s">
        <v>95</v>
      </c>
      <c r="C273" s="554"/>
      <c r="D273" s="560">
        <f>SUM(D274:D295)</f>
        <v>2616435</v>
      </c>
      <c r="E273" s="560">
        <f>SUM(E274:E295)</f>
        <v>2515435.2899999996</v>
      </c>
      <c r="F273" s="560">
        <f t="shared" si="115"/>
        <v>96.13979670811618</v>
      </c>
      <c r="G273" s="560">
        <f aca="true" t="shared" si="133" ref="G273:S273">SUM(G274:G295)</f>
        <v>2515435.2899999996</v>
      </c>
      <c r="H273" s="560">
        <f t="shared" si="133"/>
        <v>1211267.71</v>
      </c>
      <c r="I273" s="560">
        <f t="shared" si="133"/>
        <v>927819.94</v>
      </c>
      <c r="J273" s="560">
        <f t="shared" si="133"/>
        <v>283447.77</v>
      </c>
      <c r="K273" s="560">
        <f t="shared" si="133"/>
        <v>1171531.48</v>
      </c>
      <c r="L273" s="560">
        <f t="shared" si="133"/>
        <v>132636.1</v>
      </c>
      <c r="M273" s="560">
        <f t="shared" si="133"/>
        <v>0</v>
      </c>
      <c r="N273" s="560">
        <f t="shared" si="133"/>
        <v>0</v>
      </c>
      <c r="O273" s="560">
        <f t="shared" si="133"/>
        <v>0</v>
      </c>
      <c r="P273" s="560">
        <f t="shared" si="133"/>
        <v>0</v>
      </c>
      <c r="Q273" s="560">
        <f t="shared" si="133"/>
        <v>0</v>
      </c>
      <c r="R273" s="560">
        <f t="shared" si="133"/>
        <v>0</v>
      </c>
      <c r="S273" s="560">
        <f t="shared" si="133"/>
        <v>0</v>
      </c>
    </row>
    <row r="274" spans="1:19" ht="13.5" customHeight="1">
      <c r="A274" s="561"/>
      <c r="B274" s="561"/>
      <c r="C274" s="562" t="s">
        <v>100</v>
      </c>
      <c r="D274" s="563">
        <v>1232400</v>
      </c>
      <c r="E274" s="563">
        <f>G274+P274</f>
        <v>1171531.48</v>
      </c>
      <c r="F274" s="563">
        <f t="shared" si="115"/>
        <v>95.06097695553392</v>
      </c>
      <c r="G274" s="563">
        <f>H274+K274+L274+M274+N274+O274</f>
        <v>1171531.48</v>
      </c>
      <c r="H274" s="563">
        <f>SUM(I274:J274)</f>
        <v>0</v>
      </c>
      <c r="I274" s="563">
        <v>0</v>
      </c>
      <c r="J274" s="563">
        <v>0</v>
      </c>
      <c r="K274" s="563">
        <v>1171531.48</v>
      </c>
      <c r="L274" s="563">
        <v>0</v>
      </c>
      <c r="M274" s="563">
        <v>0</v>
      </c>
      <c r="N274" s="563">
        <v>0</v>
      </c>
      <c r="O274" s="563">
        <v>0</v>
      </c>
      <c r="P274" s="563">
        <f>Q274+S274</f>
        <v>0</v>
      </c>
      <c r="Q274" s="563">
        <v>0</v>
      </c>
      <c r="R274" s="564">
        <v>0</v>
      </c>
      <c r="S274" s="563">
        <v>0</v>
      </c>
    </row>
    <row r="275" spans="1:19" ht="13.5" customHeight="1">
      <c r="A275" s="561"/>
      <c r="B275" s="561"/>
      <c r="C275" s="562" t="s">
        <v>307</v>
      </c>
      <c r="D275" s="563">
        <v>1249</v>
      </c>
      <c r="E275" s="563">
        <f aca="true" t="shared" si="134" ref="E275:E290">G275+P275</f>
        <v>1248.5</v>
      </c>
      <c r="F275" s="563">
        <f t="shared" si="115"/>
        <v>99.95996797437951</v>
      </c>
      <c r="G275" s="563">
        <f aca="true" t="shared" si="135" ref="G275:G290">H275+K275+L275+M275+N275+O275</f>
        <v>1248.5</v>
      </c>
      <c r="H275" s="563">
        <f aca="true" t="shared" si="136" ref="H275:H290">SUM(I275:J275)</f>
        <v>0</v>
      </c>
      <c r="I275" s="563">
        <v>0</v>
      </c>
      <c r="J275" s="563">
        <v>0</v>
      </c>
      <c r="K275" s="563">
        <v>0</v>
      </c>
      <c r="L275" s="563">
        <f>1248.5</f>
        <v>1248.5</v>
      </c>
      <c r="M275" s="563">
        <v>0</v>
      </c>
      <c r="N275" s="563">
        <v>0</v>
      </c>
      <c r="O275" s="563">
        <v>0</v>
      </c>
      <c r="P275" s="563">
        <f aca="true" t="shared" si="137" ref="P275:P290">Q275+S275</f>
        <v>0</v>
      </c>
      <c r="Q275" s="563">
        <v>0</v>
      </c>
      <c r="R275" s="564">
        <v>0</v>
      </c>
      <c r="S275" s="563">
        <v>0</v>
      </c>
    </row>
    <row r="276" spans="1:19" ht="13.5" customHeight="1">
      <c r="A276" s="561"/>
      <c r="B276" s="561"/>
      <c r="C276" s="562" t="s">
        <v>352</v>
      </c>
      <c r="D276" s="563">
        <v>170626</v>
      </c>
      <c r="E276" s="563">
        <f t="shared" si="134"/>
        <v>131387.6</v>
      </c>
      <c r="F276" s="563">
        <f t="shared" si="115"/>
        <v>77.00327031050368</v>
      </c>
      <c r="G276" s="563">
        <f t="shared" si="135"/>
        <v>131387.6</v>
      </c>
      <c r="H276" s="563">
        <f t="shared" si="136"/>
        <v>0</v>
      </c>
      <c r="I276" s="563">
        <v>0</v>
      </c>
      <c r="J276" s="563">
        <v>0</v>
      </c>
      <c r="K276" s="563">
        <v>0</v>
      </c>
      <c r="L276" s="563">
        <f>14974.8+116412.8</f>
        <v>131387.6</v>
      </c>
      <c r="M276" s="563">
        <v>0</v>
      </c>
      <c r="N276" s="563">
        <v>0</v>
      </c>
      <c r="O276" s="563">
        <v>0</v>
      </c>
      <c r="P276" s="563">
        <f t="shared" si="137"/>
        <v>0</v>
      </c>
      <c r="Q276" s="563">
        <v>0</v>
      </c>
      <c r="R276" s="564">
        <v>0</v>
      </c>
      <c r="S276" s="563">
        <v>0</v>
      </c>
    </row>
    <row r="277" spans="1:19" ht="13.5" customHeight="1">
      <c r="A277" s="561"/>
      <c r="B277" s="561"/>
      <c r="C277" s="562" t="s">
        <v>295</v>
      </c>
      <c r="D277" s="563">
        <v>715660</v>
      </c>
      <c r="E277" s="563">
        <f t="shared" si="134"/>
        <v>715404.24</v>
      </c>
      <c r="F277" s="563">
        <f t="shared" si="115"/>
        <v>99.96426235922085</v>
      </c>
      <c r="G277" s="563">
        <f t="shared" si="135"/>
        <v>715404.24</v>
      </c>
      <c r="H277" s="563">
        <f t="shared" si="136"/>
        <v>715404.24</v>
      </c>
      <c r="I277" s="563">
        <f>652839+62565.24</f>
        <v>715404.24</v>
      </c>
      <c r="J277" s="563">
        <v>0</v>
      </c>
      <c r="K277" s="563">
        <v>0</v>
      </c>
      <c r="L277" s="563">
        <v>0</v>
      </c>
      <c r="M277" s="563">
        <v>0</v>
      </c>
      <c r="N277" s="563">
        <v>0</v>
      </c>
      <c r="O277" s="563">
        <v>0</v>
      </c>
      <c r="P277" s="563">
        <f t="shared" si="137"/>
        <v>0</v>
      </c>
      <c r="Q277" s="563">
        <v>0</v>
      </c>
      <c r="R277" s="564">
        <v>0</v>
      </c>
      <c r="S277" s="563">
        <v>0</v>
      </c>
    </row>
    <row r="278" spans="1:19" ht="13.5" customHeight="1">
      <c r="A278" s="561"/>
      <c r="B278" s="561"/>
      <c r="C278" s="562" t="s">
        <v>296</v>
      </c>
      <c r="D278" s="563">
        <v>49766</v>
      </c>
      <c r="E278" s="563">
        <f t="shared" si="134"/>
        <v>49765.94</v>
      </c>
      <c r="F278" s="563">
        <f t="shared" si="115"/>
        <v>99.99987943575935</v>
      </c>
      <c r="G278" s="563">
        <f t="shared" si="135"/>
        <v>49765.94</v>
      </c>
      <c r="H278" s="563">
        <f t="shared" si="136"/>
        <v>49765.94</v>
      </c>
      <c r="I278" s="563">
        <f>49765.94</f>
        <v>49765.94</v>
      </c>
      <c r="J278" s="563">
        <v>0</v>
      </c>
      <c r="K278" s="563">
        <v>0</v>
      </c>
      <c r="L278" s="563">
        <v>0</v>
      </c>
      <c r="M278" s="563">
        <v>0</v>
      </c>
      <c r="N278" s="563">
        <v>0</v>
      </c>
      <c r="O278" s="563">
        <v>0</v>
      </c>
      <c r="P278" s="563">
        <f t="shared" si="137"/>
        <v>0</v>
      </c>
      <c r="Q278" s="563">
        <v>0</v>
      </c>
      <c r="R278" s="564">
        <v>0</v>
      </c>
      <c r="S278" s="563">
        <v>0</v>
      </c>
    </row>
    <row r="279" spans="1:19" ht="13.5" customHeight="1">
      <c r="A279" s="561"/>
      <c r="B279" s="561"/>
      <c r="C279" s="562" t="s">
        <v>297</v>
      </c>
      <c r="D279" s="563">
        <v>136469</v>
      </c>
      <c r="E279" s="563">
        <f t="shared" si="134"/>
        <v>135981</v>
      </c>
      <c r="F279" s="563">
        <f t="shared" si="115"/>
        <v>99.6424096314914</v>
      </c>
      <c r="G279" s="563">
        <f t="shared" si="135"/>
        <v>135981</v>
      </c>
      <c r="H279" s="563">
        <f t="shared" si="136"/>
        <v>135981</v>
      </c>
      <c r="I279" s="563">
        <f>125651+10330</f>
        <v>135981</v>
      </c>
      <c r="J279" s="563">
        <v>0</v>
      </c>
      <c r="K279" s="563">
        <v>0</v>
      </c>
      <c r="L279" s="563">
        <v>0</v>
      </c>
      <c r="M279" s="563">
        <v>0</v>
      </c>
      <c r="N279" s="563">
        <v>0</v>
      </c>
      <c r="O279" s="563">
        <v>0</v>
      </c>
      <c r="P279" s="563">
        <f t="shared" si="137"/>
        <v>0</v>
      </c>
      <c r="Q279" s="563">
        <v>0</v>
      </c>
      <c r="R279" s="564">
        <v>0</v>
      </c>
      <c r="S279" s="563">
        <v>0</v>
      </c>
    </row>
    <row r="280" spans="1:19" ht="13.5" customHeight="1">
      <c r="A280" s="561"/>
      <c r="B280" s="561"/>
      <c r="C280" s="562" t="s">
        <v>298</v>
      </c>
      <c r="D280" s="563">
        <v>18876</v>
      </c>
      <c r="E280" s="563">
        <f t="shared" si="134"/>
        <v>18778.76</v>
      </c>
      <c r="F280" s="563">
        <f t="shared" si="115"/>
        <v>99.48484848484847</v>
      </c>
      <c r="G280" s="563">
        <f t="shared" si="135"/>
        <v>18778.76</v>
      </c>
      <c r="H280" s="563">
        <f t="shared" si="136"/>
        <v>18778.76</v>
      </c>
      <c r="I280" s="563">
        <f>17336+1442.76</f>
        <v>18778.76</v>
      </c>
      <c r="J280" s="563">
        <v>0</v>
      </c>
      <c r="K280" s="563">
        <v>0</v>
      </c>
      <c r="L280" s="563">
        <v>0</v>
      </c>
      <c r="M280" s="563">
        <v>0</v>
      </c>
      <c r="N280" s="563">
        <v>0</v>
      </c>
      <c r="O280" s="563">
        <v>0</v>
      </c>
      <c r="P280" s="563">
        <f t="shared" si="137"/>
        <v>0</v>
      </c>
      <c r="Q280" s="563">
        <v>0</v>
      </c>
      <c r="R280" s="564">
        <v>0</v>
      </c>
      <c r="S280" s="563">
        <v>0</v>
      </c>
    </row>
    <row r="281" spans="1:19" ht="13.5" customHeight="1">
      <c r="A281" s="561"/>
      <c r="B281" s="561"/>
      <c r="C281" s="562" t="s">
        <v>305</v>
      </c>
      <c r="D281" s="563">
        <v>7890</v>
      </c>
      <c r="E281" s="563">
        <f t="shared" si="134"/>
        <v>7890</v>
      </c>
      <c r="F281" s="563">
        <f t="shared" si="115"/>
        <v>100</v>
      </c>
      <c r="G281" s="563">
        <f t="shared" si="135"/>
        <v>7890</v>
      </c>
      <c r="H281" s="563">
        <f t="shared" si="136"/>
        <v>7890</v>
      </c>
      <c r="I281" s="563">
        <f>7890</f>
        <v>7890</v>
      </c>
      <c r="J281" s="563">
        <v>0</v>
      </c>
      <c r="K281" s="563">
        <v>0</v>
      </c>
      <c r="L281" s="563">
        <v>0</v>
      </c>
      <c r="M281" s="563">
        <v>0</v>
      </c>
      <c r="N281" s="563">
        <v>0</v>
      </c>
      <c r="O281" s="563">
        <v>0</v>
      </c>
      <c r="P281" s="563">
        <f t="shared" si="137"/>
        <v>0</v>
      </c>
      <c r="Q281" s="563">
        <v>0</v>
      </c>
      <c r="R281" s="564">
        <v>0</v>
      </c>
      <c r="S281" s="563">
        <v>0</v>
      </c>
    </row>
    <row r="282" spans="1:19" ht="13.5" customHeight="1">
      <c r="A282" s="561"/>
      <c r="B282" s="561"/>
      <c r="C282" s="562" t="s">
        <v>123</v>
      </c>
      <c r="D282" s="563">
        <v>63123</v>
      </c>
      <c r="E282" s="563">
        <f t="shared" si="134"/>
        <v>63123</v>
      </c>
      <c r="F282" s="563">
        <f t="shared" si="115"/>
        <v>100</v>
      </c>
      <c r="G282" s="563">
        <f t="shared" si="135"/>
        <v>63123</v>
      </c>
      <c r="H282" s="563">
        <f t="shared" si="136"/>
        <v>63123</v>
      </c>
      <c r="I282" s="563">
        <v>0</v>
      </c>
      <c r="J282" s="563">
        <v>63123</v>
      </c>
      <c r="K282" s="563">
        <v>0</v>
      </c>
      <c r="L282" s="563">
        <v>0</v>
      </c>
      <c r="M282" s="563">
        <v>0</v>
      </c>
      <c r="N282" s="563">
        <v>0</v>
      </c>
      <c r="O282" s="563">
        <v>0</v>
      </c>
      <c r="P282" s="563">
        <f t="shared" si="137"/>
        <v>0</v>
      </c>
      <c r="Q282" s="563">
        <v>0</v>
      </c>
      <c r="R282" s="564">
        <v>0</v>
      </c>
      <c r="S282" s="563">
        <v>0</v>
      </c>
    </row>
    <row r="283" spans="1:19" ht="13.5" customHeight="1">
      <c r="A283" s="561"/>
      <c r="B283" s="561"/>
      <c r="C283" s="562" t="s">
        <v>313</v>
      </c>
      <c r="D283" s="563">
        <v>87918</v>
      </c>
      <c r="E283" s="563">
        <f t="shared" si="134"/>
        <v>87918</v>
      </c>
      <c r="F283" s="563">
        <f t="shared" si="115"/>
        <v>100</v>
      </c>
      <c r="G283" s="563">
        <f t="shared" si="135"/>
        <v>87918</v>
      </c>
      <c r="H283" s="563">
        <f t="shared" si="136"/>
        <v>87918</v>
      </c>
      <c r="I283" s="563">
        <v>0</v>
      </c>
      <c r="J283" s="563">
        <v>87918</v>
      </c>
      <c r="K283" s="563">
        <v>0</v>
      </c>
      <c r="L283" s="563">
        <v>0</v>
      </c>
      <c r="M283" s="563">
        <v>0</v>
      </c>
      <c r="N283" s="563">
        <v>0</v>
      </c>
      <c r="O283" s="563">
        <v>0</v>
      </c>
      <c r="P283" s="563">
        <f t="shared" si="137"/>
        <v>0</v>
      </c>
      <c r="Q283" s="563">
        <v>0</v>
      </c>
      <c r="R283" s="564">
        <v>0</v>
      </c>
      <c r="S283" s="563">
        <v>0</v>
      </c>
    </row>
    <row r="284" spans="1:19" ht="13.5" customHeight="1">
      <c r="A284" s="561"/>
      <c r="B284" s="561"/>
      <c r="C284" s="562" t="s">
        <v>314</v>
      </c>
      <c r="D284" s="563">
        <v>3000</v>
      </c>
      <c r="E284" s="563">
        <f t="shared" si="134"/>
        <v>3000</v>
      </c>
      <c r="F284" s="563">
        <f t="shared" si="115"/>
        <v>100</v>
      </c>
      <c r="G284" s="563">
        <f t="shared" si="135"/>
        <v>3000</v>
      </c>
      <c r="H284" s="563">
        <f t="shared" si="136"/>
        <v>3000</v>
      </c>
      <c r="I284" s="563">
        <v>0</v>
      </c>
      <c r="J284" s="563">
        <v>3000</v>
      </c>
      <c r="K284" s="563">
        <v>0</v>
      </c>
      <c r="L284" s="563">
        <v>0</v>
      </c>
      <c r="M284" s="563">
        <v>0</v>
      </c>
      <c r="N284" s="563">
        <v>0</v>
      </c>
      <c r="O284" s="563">
        <v>0</v>
      </c>
      <c r="P284" s="563">
        <f t="shared" si="137"/>
        <v>0</v>
      </c>
      <c r="Q284" s="563">
        <v>0</v>
      </c>
      <c r="R284" s="564">
        <v>0</v>
      </c>
      <c r="S284" s="563">
        <v>0</v>
      </c>
    </row>
    <row r="285" spans="1:19" ht="13.5" customHeight="1">
      <c r="A285" s="561"/>
      <c r="B285" s="561"/>
      <c r="C285" s="562" t="s">
        <v>331</v>
      </c>
      <c r="D285" s="563">
        <v>3998</v>
      </c>
      <c r="E285" s="563">
        <f t="shared" si="134"/>
        <v>3997.83</v>
      </c>
      <c r="F285" s="563">
        <f t="shared" si="115"/>
        <v>99.99574787393696</v>
      </c>
      <c r="G285" s="563">
        <f t="shared" si="135"/>
        <v>3997.83</v>
      </c>
      <c r="H285" s="563">
        <f t="shared" si="136"/>
        <v>3997.83</v>
      </c>
      <c r="I285" s="563">
        <v>0</v>
      </c>
      <c r="J285" s="563">
        <v>3997.83</v>
      </c>
      <c r="K285" s="563">
        <v>0</v>
      </c>
      <c r="L285" s="563">
        <v>0</v>
      </c>
      <c r="M285" s="563">
        <v>0</v>
      </c>
      <c r="N285" s="563">
        <v>0</v>
      </c>
      <c r="O285" s="563">
        <v>0</v>
      </c>
      <c r="P285" s="563">
        <f t="shared" si="137"/>
        <v>0</v>
      </c>
      <c r="Q285" s="563">
        <v>0</v>
      </c>
      <c r="R285" s="564">
        <v>0</v>
      </c>
      <c r="S285" s="563">
        <v>0</v>
      </c>
    </row>
    <row r="286" spans="1:19" ht="13.5" customHeight="1">
      <c r="A286" s="561"/>
      <c r="B286" s="561"/>
      <c r="C286" s="562" t="s">
        <v>315</v>
      </c>
      <c r="D286" s="563">
        <v>37082</v>
      </c>
      <c r="E286" s="563">
        <f t="shared" si="134"/>
        <v>37081.37</v>
      </c>
      <c r="F286" s="563">
        <f t="shared" si="115"/>
        <v>99.99830106251012</v>
      </c>
      <c r="G286" s="563">
        <f t="shared" si="135"/>
        <v>37081.37</v>
      </c>
      <c r="H286" s="563">
        <f t="shared" si="136"/>
        <v>37081.37</v>
      </c>
      <c r="I286" s="563">
        <v>0</v>
      </c>
      <c r="J286" s="563">
        <v>37081.37</v>
      </c>
      <c r="K286" s="563">
        <v>0</v>
      </c>
      <c r="L286" s="563">
        <v>0</v>
      </c>
      <c r="M286" s="563">
        <v>0</v>
      </c>
      <c r="N286" s="563">
        <v>0</v>
      </c>
      <c r="O286" s="563">
        <v>0</v>
      </c>
      <c r="P286" s="563">
        <f t="shared" si="137"/>
        <v>0</v>
      </c>
      <c r="Q286" s="563">
        <v>0</v>
      </c>
      <c r="R286" s="564">
        <v>0</v>
      </c>
      <c r="S286" s="563">
        <v>0</v>
      </c>
    </row>
    <row r="287" spans="1:19" ht="13.5" customHeight="1">
      <c r="A287" s="561"/>
      <c r="B287" s="561"/>
      <c r="C287" s="562" t="s">
        <v>124</v>
      </c>
      <c r="D287" s="563">
        <v>2000</v>
      </c>
      <c r="E287" s="563">
        <f t="shared" si="134"/>
        <v>2000</v>
      </c>
      <c r="F287" s="563">
        <f t="shared" si="115"/>
        <v>100</v>
      </c>
      <c r="G287" s="563">
        <f t="shared" si="135"/>
        <v>2000</v>
      </c>
      <c r="H287" s="563">
        <f t="shared" si="136"/>
        <v>2000</v>
      </c>
      <c r="I287" s="563">
        <v>0</v>
      </c>
      <c r="J287" s="563">
        <v>2000</v>
      </c>
      <c r="K287" s="563">
        <v>0</v>
      </c>
      <c r="L287" s="563">
        <v>0</v>
      </c>
      <c r="M287" s="563">
        <v>0</v>
      </c>
      <c r="N287" s="563">
        <v>0</v>
      </c>
      <c r="O287" s="563">
        <v>0</v>
      </c>
      <c r="P287" s="563">
        <f t="shared" si="137"/>
        <v>0</v>
      </c>
      <c r="Q287" s="563">
        <v>0</v>
      </c>
      <c r="R287" s="564">
        <v>0</v>
      </c>
      <c r="S287" s="563">
        <v>0</v>
      </c>
    </row>
    <row r="288" spans="1:19" ht="13.5" customHeight="1">
      <c r="A288" s="561"/>
      <c r="B288" s="561"/>
      <c r="C288" s="562" t="s">
        <v>306</v>
      </c>
      <c r="D288" s="563">
        <v>562</v>
      </c>
      <c r="E288" s="563">
        <f t="shared" si="134"/>
        <v>562</v>
      </c>
      <c r="F288" s="563">
        <f t="shared" si="115"/>
        <v>100</v>
      </c>
      <c r="G288" s="563">
        <f t="shared" si="135"/>
        <v>562</v>
      </c>
      <c r="H288" s="563">
        <f t="shared" si="136"/>
        <v>562</v>
      </c>
      <c r="I288" s="563">
        <v>0</v>
      </c>
      <c r="J288" s="563">
        <v>562</v>
      </c>
      <c r="K288" s="563">
        <v>0</v>
      </c>
      <c r="L288" s="563">
        <v>0</v>
      </c>
      <c r="M288" s="563">
        <v>0</v>
      </c>
      <c r="N288" s="563">
        <v>0</v>
      </c>
      <c r="O288" s="563">
        <v>0</v>
      </c>
      <c r="P288" s="563">
        <f t="shared" si="137"/>
        <v>0</v>
      </c>
      <c r="Q288" s="563">
        <v>0</v>
      </c>
      <c r="R288" s="564">
        <v>0</v>
      </c>
      <c r="S288" s="563">
        <v>0</v>
      </c>
    </row>
    <row r="289" spans="1:19" ht="13.5" customHeight="1">
      <c r="A289" s="561"/>
      <c r="B289" s="561"/>
      <c r="C289" s="562" t="s">
        <v>125</v>
      </c>
      <c r="D289" s="563">
        <v>47418</v>
      </c>
      <c r="E289" s="563">
        <f t="shared" si="134"/>
        <v>47398.72</v>
      </c>
      <c r="F289" s="563">
        <f t="shared" si="115"/>
        <v>99.95934033489392</v>
      </c>
      <c r="G289" s="563">
        <f t="shared" si="135"/>
        <v>47398.72</v>
      </c>
      <c r="H289" s="563">
        <f t="shared" si="136"/>
        <v>47398.72</v>
      </c>
      <c r="I289" s="563">
        <v>0</v>
      </c>
      <c r="J289" s="563">
        <v>47398.72</v>
      </c>
      <c r="K289" s="563">
        <v>0</v>
      </c>
      <c r="L289" s="563">
        <v>0</v>
      </c>
      <c r="M289" s="563">
        <v>0</v>
      </c>
      <c r="N289" s="563">
        <v>0</v>
      </c>
      <c r="O289" s="563">
        <v>0</v>
      </c>
      <c r="P289" s="563">
        <f t="shared" si="137"/>
        <v>0</v>
      </c>
      <c r="Q289" s="563">
        <v>0</v>
      </c>
      <c r="R289" s="564">
        <v>0</v>
      </c>
      <c r="S289" s="563">
        <v>0</v>
      </c>
    </row>
    <row r="290" spans="1:19" ht="13.5" customHeight="1">
      <c r="A290" s="561"/>
      <c r="B290" s="561"/>
      <c r="C290" s="562" t="s">
        <v>300</v>
      </c>
      <c r="D290" s="563">
        <v>2673</v>
      </c>
      <c r="E290" s="563">
        <f t="shared" si="134"/>
        <v>2666.63</v>
      </c>
      <c r="F290" s="563">
        <f t="shared" si="115"/>
        <v>99.76169098391321</v>
      </c>
      <c r="G290" s="563">
        <f t="shared" si="135"/>
        <v>2666.63</v>
      </c>
      <c r="H290" s="563">
        <f t="shared" si="136"/>
        <v>2666.63</v>
      </c>
      <c r="I290" s="563">
        <v>0</v>
      </c>
      <c r="J290" s="563">
        <v>2666.63</v>
      </c>
      <c r="K290" s="563">
        <v>0</v>
      </c>
      <c r="L290" s="563">
        <v>0</v>
      </c>
      <c r="M290" s="563">
        <v>0</v>
      </c>
      <c r="N290" s="563">
        <v>0</v>
      </c>
      <c r="O290" s="563">
        <v>0</v>
      </c>
      <c r="P290" s="563">
        <f t="shared" si="137"/>
        <v>0</v>
      </c>
      <c r="Q290" s="563">
        <v>0</v>
      </c>
      <c r="R290" s="564">
        <v>0</v>
      </c>
      <c r="S290" s="563">
        <v>0</v>
      </c>
    </row>
    <row r="291" spans="1:19" ht="13.5" customHeight="1">
      <c r="A291" s="561"/>
      <c r="B291" s="561"/>
      <c r="C291" s="562" t="s">
        <v>302</v>
      </c>
      <c r="D291" s="563">
        <v>6521</v>
      </c>
      <c r="E291" s="563">
        <f>G291+P291</f>
        <v>6495.82</v>
      </c>
      <c r="F291" s="563">
        <f>E291/D291*100</f>
        <v>99.61386290446251</v>
      </c>
      <c r="G291" s="563">
        <f>H291+K291+L291+M291+N291+O291</f>
        <v>6495.82</v>
      </c>
      <c r="H291" s="563">
        <f>SUM(I291:J291)</f>
        <v>6495.82</v>
      </c>
      <c r="I291" s="563">
        <v>0</v>
      </c>
      <c r="J291" s="563">
        <v>6495.82</v>
      </c>
      <c r="K291" s="563">
        <v>0</v>
      </c>
      <c r="L291" s="563">
        <v>0</v>
      </c>
      <c r="M291" s="563">
        <v>0</v>
      </c>
      <c r="N291" s="563">
        <v>0</v>
      </c>
      <c r="O291" s="563">
        <v>0</v>
      </c>
      <c r="P291" s="563">
        <f>Q291+S291</f>
        <v>0</v>
      </c>
      <c r="Q291" s="563">
        <v>0</v>
      </c>
      <c r="R291" s="564">
        <v>0</v>
      </c>
      <c r="S291" s="563">
        <v>0</v>
      </c>
    </row>
    <row r="292" spans="1:19" ht="13.5" customHeight="1">
      <c r="A292" s="561"/>
      <c r="B292" s="561"/>
      <c r="C292" s="562" t="s">
        <v>303</v>
      </c>
      <c r="D292" s="563">
        <v>2217</v>
      </c>
      <c r="E292" s="563">
        <f>G292+P292</f>
        <v>2217</v>
      </c>
      <c r="F292" s="563">
        <f>E292/D292*100</f>
        <v>100</v>
      </c>
      <c r="G292" s="563">
        <f>H292+K292+L292+M292+N292+O292</f>
        <v>2217</v>
      </c>
      <c r="H292" s="563">
        <f>SUM(I292:J292)</f>
        <v>2217</v>
      </c>
      <c r="I292" s="563">
        <v>0</v>
      </c>
      <c r="J292" s="563">
        <v>2217</v>
      </c>
      <c r="K292" s="563">
        <v>0</v>
      </c>
      <c r="L292" s="563">
        <v>0</v>
      </c>
      <c r="M292" s="563">
        <v>0</v>
      </c>
      <c r="N292" s="563">
        <v>0</v>
      </c>
      <c r="O292" s="563">
        <v>0</v>
      </c>
      <c r="P292" s="563">
        <f>Q292+S292</f>
        <v>0</v>
      </c>
      <c r="Q292" s="563">
        <v>0</v>
      </c>
      <c r="R292" s="564">
        <v>0</v>
      </c>
      <c r="S292" s="563">
        <v>0</v>
      </c>
    </row>
    <row r="293" spans="1:19" ht="13.5" customHeight="1">
      <c r="A293" s="561"/>
      <c r="B293" s="561"/>
      <c r="C293" s="562" t="s">
        <v>304</v>
      </c>
      <c r="D293" s="563">
        <v>19417</v>
      </c>
      <c r="E293" s="563">
        <f>G293+P293</f>
        <v>19417</v>
      </c>
      <c r="F293" s="563">
        <f>E293/D293*100</f>
        <v>100</v>
      </c>
      <c r="G293" s="563">
        <f>H293+K293+L293+M293+N293+O293</f>
        <v>19417</v>
      </c>
      <c r="H293" s="563">
        <f>SUM(I293:J293)</f>
        <v>19417</v>
      </c>
      <c r="I293" s="563">
        <v>0</v>
      </c>
      <c r="J293" s="563">
        <v>19417</v>
      </c>
      <c r="K293" s="563">
        <v>0</v>
      </c>
      <c r="L293" s="563">
        <v>0</v>
      </c>
      <c r="M293" s="563">
        <v>0</v>
      </c>
      <c r="N293" s="563">
        <v>0</v>
      </c>
      <c r="O293" s="563">
        <v>0</v>
      </c>
      <c r="P293" s="563">
        <f>Q293+S293</f>
        <v>0</v>
      </c>
      <c r="Q293" s="563">
        <v>0</v>
      </c>
      <c r="R293" s="564">
        <v>0</v>
      </c>
      <c r="S293" s="563">
        <v>0</v>
      </c>
    </row>
    <row r="294" spans="1:19" ht="13.5" customHeight="1">
      <c r="A294" s="561"/>
      <c r="B294" s="561"/>
      <c r="C294" s="562" t="s">
        <v>319</v>
      </c>
      <c r="D294" s="563">
        <v>3110</v>
      </c>
      <c r="E294" s="563">
        <f>G294+P294</f>
        <v>3110.4</v>
      </c>
      <c r="F294" s="563">
        <f>E294/D294*100</f>
        <v>100.01286173633441</v>
      </c>
      <c r="G294" s="563">
        <f>H294+K294+L294+M294+N294+O294</f>
        <v>3110.4</v>
      </c>
      <c r="H294" s="563">
        <f>SUM(I294:J294)</f>
        <v>3110.4</v>
      </c>
      <c r="I294" s="563">
        <v>0</v>
      </c>
      <c r="J294" s="563">
        <v>3110.4</v>
      </c>
      <c r="K294" s="563">
        <v>0</v>
      </c>
      <c r="L294" s="563">
        <v>0</v>
      </c>
      <c r="M294" s="563">
        <v>0</v>
      </c>
      <c r="N294" s="563">
        <v>0</v>
      </c>
      <c r="O294" s="563">
        <v>0</v>
      </c>
      <c r="P294" s="563">
        <f>Q294+S294</f>
        <v>0</v>
      </c>
      <c r="Q294" s="563">
        <v>0</v>
      </c>
      <c r="R294" s="564">
        <v>0</v>
      </c>
      <c r="S294" s="563">
        <v>0</v>
      </c>
    </row>
    <row r="295" spans="1:19" ht="13.5" customHeight="1">
      <c r="A295" s="561"/>
      <c r="B295" s="561"/>
      <c r="C295" s="562" t="s">
        <v>145</v>
      </c>
      <c r="D295" s="563">
        <v>4460</v>
      </c>
      <c r="E295" s="563">
        <f>G295+P295</f>
        <v>4460</v>
      </c>
      <c r="F295" s="563">
        <f>E295/D295*100</f>
        <v>100</v>
      </c>
      <c r="G295" s="563">
        <f>H295+K295+L295+M295+N295+O295</f>
        <v>4460</v>
      </c>
      <c r="H295" s="563">
        <f>SUM(I295:J295)</f>
        <v>4460</v>
      </c>
      <c r="I295" s="563">
        <v>0</v>
      </c>
      <c r="J295" s="563">
        <v>4460</v>
      </c>
      <c r="K295" s="563">
        <v>0</v>
      </c>
      <c r="L295" s="563">
        <v>0</v>
      </c>
      <c r="M295" s="563">
        <v>0</v>
      </c>
      <c r="N295" s="563">
        <v>0</v>
      </c>
      <c r="O295" s="563">
        <v>0</v>
      </c>
      <c r="P295" s="563">
        <f>Q295+S295</f>
        <v>0</v>
      </c>
      <c r="Q295" s="563">
        <v>0</v>
      </c>
      <c r="R295" s="564">
        <v>0</v>
      </c>
      <c r="S295" s="563">
        <v>0</v>
      </c>
    </row>
    <row r="296" spans="1:19" ht="13.5" customHeight="1">
      <c r="A296" s="561"/>
      <c r="B296" s="554" t="s">
        <v>98</v>
      </c>
      <c r="C296" s="554"/>
      <c r="D296" s="560">
        <f>SUM(D297:D308)</f>
        <v>4309567</v>
      </c>
      <c r="E296" s="560">
        <f>SUM(E297:E308)</f>
        <v>4238116.410000001</v>
      </c>
      <c r="F296" s="560">
        <f t="shared" si="115"/>
        <v>98.34204712445592</v>
      </c>
      <c r="G296" s="560">
        <f aca="true" t="shared" si="138" ref="G296:S296">SUM(G297:G308)</f>
        <v>4238116.410000001</v>
      </c>
      <c r="H296" s="560">
        <f t="shared" si="138"/>
        <v>833101.8899999999</v>
      </c>
      <c r="I296" s="560">
        <f t="shared" si="138"/>
        <v>752302.1799999999</v>
      </c>
      <c r="J296" s="560">
        <f t="shared" si="138"/>
        <v>80799.70999999999</v>
      </c>
      <c r="K296" s="560">
        <f t="shared" si="138"/>
        <v>548677.91</v>
      </c>
      <c r="L296" s="560">
        <f t="shared" si="138"/>
        <v>2856336.61</v>
      </c>
      <c r="M296" s="560">
        <f t="shared" si="138"/>
        <v>0</v>
      </c>
      <c r="N296" s="560">
        <f t="shared" si="138"/>
        <v>0</v>
      </c>
      <c r="O296" s="560">
        <f t="shared" si="138"/>
        <v>0</v>
      </c>
      <c r="P296" s="560">
        <f t="shared" si="138"/>
        <v>0</v>
      </c>
      <c r="Q296" s="560">
        <f t="shared" si="138"/>
        <v>0</v>
      </c>
      <c r="R296" s="560">
        <f t="shared" si="138"/>
        <v>0</v>
      </c>
      <c r="S296" s="560">
        <f t="shared" si="138"/>
        <v>0</v>
      </c>
    </row>
    <row r="297" spans="1:19" ht="13.5" customHeight="1">
      <c r="A297" s="561"/>
      <c r="B297" s="561"/>
      <c r="C297" s="562" t="s">
        <v>100</v>
      </c>
      <c r="D297" s="563">
        <v>590500</v>
      </c>
      <c r="E297" s="563">
        <f>G297+P297</f>
        <v>548677.91</v>
      </c>
      <c r="F297" s="563">
        <f t="shared" si="115"/>
        <v>92.91751227773074</v>
      </c>
      <c r="G297" s="563">
        <f>H297+K297+L297+M297+N297+O297</f>
        <v>548677.91</v>
      </c>
      <c r="H297" s="563">
        <f>SUM(I297:J297)</f>
        <v>0</v>
      </c>
      <c r="I297" s="563">
        <v>0</v>
      </c>
      <c r="J297" s="563">
        <v>0</v>
      </c>
      <c r="K297" s="563">
        <v>548677.91</v>
      </c>
      <c r="L297" s="563">
        <v>0</v>
      </c>
      <c r="M297" s="563">
        <v>0</v>
      </c>
      <c r="N297" s="563">
        <v>0</v>
      </c>
      <c r="O297" s="563">
        <v>0</v>
      </c>
      <c r="P297" s="563">
        <f>Q297+S297</f>
        <v>0</v>
      </c>
      <c r="Q297" s="563">
        <v>0</v>
      </c>
      <c r="R297" s="564">
        <v>0</v>
      </c>
      <c r="S297" s="563">
        <v>0</v>
      </c>
    </row>
    <row r="298" spans="1:19" ht="13.5" customHeight="1">
      <c r="A298" s="561"/>
      <c r="B298" s="561"/>
      <c r="C298" s="562" t="s">
        <v>352</v>
      </c>
      <c r="D298" s="563">
        <v>2857000</v>
      </c>
      <c r="E298" s="563">
        <f aca="true" t="shared" si="139" ref="E298:E304">G298+P298</f>
        <v>2856336.61</v>
      </c>
      <c r="F298" s="563">
        <f t="shared" si="115"/>
        <v>99.97678018900945</v>
      </c>
      <c r="G298" s="563">
        <f aca="true" t="shared" si="140" ref="G298:G304">H298+K298+L298+M298+N298+O298</f>
        <v>2856336.61</v>
      </c>
      <c r="H298" s="563">
        <f aca="true" t="shared" si="141" ref="H298:H304">SUM(I298:J298)</f>
        <v>0</v>
      </c>
      <c r="I298" s="563">
        <v>0</v>
      </c>
      <c r="J298" s="563">
        <v>0</v>
      </c>
      <c r="K298" s="563">
        <v>0</v>
      </c>
      <c r="L298" s="563">
        <v>2856336.61</v>
      </c>
      <c r="M298" s="563">
        <v>0</v>
      </c>
      <c r="N298" s="563">
        <v>0</v>
      </c>
      <c r="O298" s="563">
        <v>0</v>
      </c>
      <c r="P298" s="563">
        <f aca="true" t="shared" si="142" ref="P298:P304">Q298+S298</f>
        <v>0</v>
      </c>
      <c r="Q298" s="563">
        <v>0</v>
      </c>
      <c r="R298" s="564">
        <v>0</v>
      </c>
      <c r="S298" s="563">
        <v>0</v>
      </c>
    </row>
    <row r="299" spans="1:19" ht="13.5" customHeight="1">
      <c r="A299" s="561"/>
      <c r="B299" s="561"/>
      <c r="C299" s="562" t="s">
        <v>295</v>
      </c>
      <c r="D299" s="563">
        <v>323773</v>
      </c>
      <c r="E299" s="563">
        <f t="shared" si="139"/>
        <v>323002.75</v>
      </c>
      <c r="F299" s="563">
        <f t="shared" si="115"/>
        <v>99.76210184295788</v>
      </c>
      <c r="G299" s="563">
        <f t="shared" si="140"/>
        <v>323002.75</v>
      </c>
      <c r="H299" s="563">
        <f t="shared" si="141"/>
        <v>323002.75</v>
      </c>
      <c r="I299" s="563">
        <v>323002.75</v>
      </c>
      <c r="J299" s="563">
        <v>0</v>
      </c>
      <c r="K299" s="563">
        <v>0</v>
      </c>
      <c r="L299" s="563">
        <v>0</v>
      </c>
      <c r="M299" s="563">
        <v>0</v>
      </c>
      <c r="N299" s="563">
        <v>0</v>
      </c>
      <c r="O299" s="563">
        <v>0</v>
      </c>
      <c r="P299" s="563">
        <f t="shared" si="142"/>
        <v>0</v>
      </c>
      <c r="Q299" s="563">
        <v>0</v>
      </c>
      <c r="R299" s="564">
        <v>0</v>
      </c>
      <c r="S299" s="563">
        <v>0</v>
      </c>
    </row>
    <row r="300" spans="1:19" ht="13.5" customHeight="1">
      <c r="A300" s="561"/>
      <c r="B300" s="561"/>
      <c r="C300" s="562" t="s">
        <v>297</v>
      </c>
      <c r="D300" s="563">
        <v>111183</v>
      </c>
      <c r="E300" s="563">
        <f t="shared" si="139"/>
        <v>106478.68</v>
      </c>
      <c r="F300" s="563">
        <f t="shared" si="115"/>
        <v>95.76884955433835</v>
      </c>
      <c r="G300" s="563">
        <f t="shared" si="140"/>
        <v>106478.68</v>
      </c>
      <c r="H300" s="563">
        <f t="shared" si="141"/>
        <v>106478.68</v>
      </c>
      <c r="I300" s="563">
        <v>106478.68</v>
      </c>
      <c r="J300" s="563">
        <v>0</v>
      </c>
      <c r="K300" s="563">
        <v>0</v>
      </c>
      <c r="L300" s="563">
        <v>0</v>
      </c>
      <c r="M300" s="563">
        <v>0</v>
      </c>
      <c r="N300" s="563">
        <v>0</v>
      </c>
      <c r="O300" s="563">
        <v>0</v>
      </c>
      <c r="P300" s="563">
        <f t="shared" si="142"/>
        <v>0</v>
      </c>
      <c r="Q300" s="563">
        <v>0</v>
      </c>
      <c r="R300" s="564">
        <v>0</v>
      </c>
      <c r="S300" s="563">
        <v>0</v>
      </c>
    </row>
    <row r="301" spans="1:19" ht="13.5" customHeight="1">
      <c r="A301" s="561"/>
      <c r="B301" s="561"/>
      <c r="C301" s="562" t="s">
        <v>298</v>
      </c>
      <c r="D301" s="563">
        <v>15775</v>
      </c>
      <c r="E301" s="563">
        <f t="shared" si="139"/>
        <v>12212.72</v>
      </c>
      <c r="F301" s="563">
        <f t="shared" si="115"/>
        <v>77.41819334389857</v>
      </c>
      <c r="G301" s="563">
        <f t="shared" si="140"/>
        <v>12212.72</v>
      </c>
      <c r="H301" s="563">
        <f t="shared" si="141"/>
        <v>12212.72</v>
      </c>
      <c r="I301" s="563">
        <v>12212.72</v>
      </c>
      <c r="J301" s="563">
        <v>0</v>
      </c>
      <c r="K301" s="563">
        <v>0</v>
      </c>
      <c r="L301" s="563">
        <v>0</v>
      </c>
      <c r="M301" s="563">
        <v>0</v>
      </c>
      <c r="N301" s="563">
        <v>0</v>
      </c>
      <c r="O301" s="563">
        <v>0</v>
      </c>
      <c r="P301" s="563">
        <f t="shared" si="142"/>
        <v>0</v>
      </c>
      <c r="Q301" s="563">
        <v>0</v>
      </c>
      <c r="R301" s="564">
        <v>0</v>
      </c>
      <c r="S301" s="563">
        <v>0</v>
      </c>
    </row>
    <row r="302" spans="1:19" ht="13.5" customHeight="1">
      <c r="A302" s="561"/>
      <c r="B302" s="561"/>
      <c r="C302" s="562" t="s">
        <v>305</v>
      </c>
      <c r="D302" s="563">
        <v>318620</v>
      </c>
      <c r="E302" s="563">
        <f t="shared" si="139"/>
        <v>310608.03</v>
      </c>
      <c r="F302" s="563">
        <f t="shared" si="115"/>
        <v>97.4854152281715</v>
      </c>
      <c r="G302" s="563">
        <f t="shared" si="140"/>
        <v>310608.03</v>
      </c>
      <c r="H302" s="563">
        <f t="shared" si="141"/>
        <v>310608.03</v>
      </c>
      <c r="I302" s="563">
        <v>310608.03</v>
      </c>
      <c r="J302" s="563">
        <v>0</v>
      </c>
      <c r="K302" s="563">
        <v>0</v>
      </c>
      <c r="L302" s="563">
        <v>0</v>
      </c>
      <c r="M302" s="563">
        <v>0</v>
      </c>
      <c r="N302" s="563">
        <v>0</v>
      </c>
      <c r="O302" s="563">
        <v>0</v>
      </c>
      <c r="P302" s="563">
        <f t="shared" si="142"/>
        <v>0</v>
      </c>
      <c r="Q302" s="563">
        <v>0</v>
      </c>
      <c r="R302" s="564">
        <v>0</v>
      </c>
      <c r="S302" s="563">
        <v>0</v>
      </c>
    </row>
    <row r="303" spans="1:19" ht="13.5" customHeight="1">
      <c r="A303" s="561"/>
      <c r="B303" s="561"/>
      <c r="C303" s="562" t="s">
        <v>123</v>
      </c>
      <c r="D303" s="563">
        <v>19000</v>
      </c>
      <c r="E303" s="563">
        <f t="shared" si="139"/>
        <v>19000</v>
      </c>
      <c r="F303" s="563">
        <f t="shared" si="115"/>
        <v>100</v>
      </c>
      <c r="G303" s="563">
        <f t="shared" si="140"/>
        <v>19000</v>
      </c>
      <c r="H303" s="563">
        <f t="shared" si="141"/>
        <v>19000</v>
      </c>
      <c r="I303" s="563">
        <v>0</v>
      </c>
      <c r="J303" s="563">
        <v>19000</v>
      </c>
      <c r="K303" s="563">
        <v>0</v>
      </c>
      <c r="L303" s="563">
        <v>0</v>
      </c>
      <c r="M303" s="563">
        <v>0</v>
      </c>
      <c r="N303" s="563">
        <v>0</v>
      </c>
      <c r="O303" s="563">
        <v>0</v>
      </c>
      <c r="P303" s="563">
        <f t="shared" si="142"/>
        <v>0</v>
      </c>
      <c r="Q303" s="563">
        <v>0</v>
      </c>
      <c r="R303" s="564">
        <v>0</v>
      </c>
      <c r="S303" s="563">
        <v>0</v>
      </c>
    </row>
    <row r="304" spans="1:19" ht="13.5" customHeight="1">
      <c r="A304" s="561"/>
      <c r="B304" s="561"/>
      <c r="C304" s="562" t="s">
        <v>125</v>
      </c>
      <c r="D304" s="563">
        <v>29200</v>
      </c>
      <c r="E304" s="563">
        <f t="shared" si="139"/>
        <v>23016.42</v>
      </c>
      <c r="F304" s="563">
        <f t="shared" si="115"/>
        <v>78.82335616438355</v>
      </c>
      <c r="G304" s="563">
        <f t="shared" si="140"/>
        <v>23016.42</v>
      </c>
      <c r="H304" s="563">
        <f t="shared" si="141"/>
        <v>23016.42</v>
      </c>
      <c r="I304" s="563">
        <v>0</v>
      </c>
      <c r="J304" s="563">
        <v>23016.42</v>
      </c>
      <c r="K304" s="563">
        <v>0</v>
      </c>
      <c r="L304" s="563">
        <v>0</v>
      </c>
      <c r="M304" s="563">
        <v>0</v>
      </c>
      <c r="N304" s="563">
        <v>0</v>
      </c>
      <c r="O304" s="563">
        <v>0</v>
      </c>
      <c r="P304" s="563">
        <f t="shared" si="142"/>
        <v>0</v>
      </c>
      <c r="Q304" s="563">
        <v>0</v>
      </c>
      <c r="R304" s="564">
        <v>0</v>
      </c>
      <c r="S304" s="563">
        <v>0</v>
      </c>
    </row>
    <row r="305" spans="1:19" ht="13.5" customHeight="1">
      <c r="A305" s="561"/>
      <c r="B305" s="561"/>
      <c r="C305" s="562" t="s">
        <v>300</v>
      </c>
      <c r="D305" s="563">
        <v>4516</v>
      </c>
      <c r="E305" s="563">
        <f>G305+P305</f>
        <v>2056.36</v>
      </c>
      <c r="F305" s="563">
        <f>E305/D305*100</f>
        <v>45.534986713906115</v>
      </c>
      <c r="G305" s="563">
        <f>H305+K305+L305+M305+N305+O305</f>
        <v>2056.36</v>
      </c>
      <c r="H305" s="563">
        <f>SUM(I305:J305)</f>
        <v>2056.36</v>
      </c>
      <c r="I305" s="563">
        <v>0</v>
      </c>
      <c r="J305" s="563">
        <v>2056.36</v>
      </c>
      <c r="K305" s="563">
        <v>0</v>
      </c>
      <c r="L305" s="563">
        <v>0</v>
      </c>
      <c r="M305" s="563">
        <v>0</v>
      </c>
      <c r="N305" s="563">
        <v>0</v>
      </c>
      <c r="O305" s="563">
        <v>0</v>
      </c>
      <c r="P305" s="563">
        <f>Q305+S305</f>
        <v>0</v>
      </c>
      <c r="Q305" s="563">
        <v>0</v>
      </c>
      <c r="R305" s="564">
        <v>0</v>
      </c>
      <c r="S305" s="563">
        <v>0</v>
      </c>
    </row>
    <row r="306" spans="1:19" ht="13.5" customHeight="1">
      <c r="A306" s="561"/>
      <c r="B306" s="561"/>
      <c r="C306" s="562" t="s">
        <v>302</v>
      </c>
      <c r="D306" s="563">
        <v>11000</v>
      </c>
      <c r="E306" s="563">
        <f>G306+P306</f>
        <v>10078.49</v>
      </c>
      <c r="F306" s="563">
        <f>E306/D306*100</f>
        <v>91.62263636363636</v>
      </c>
      <c r="G306" s="563">
        <f>H306+K306+L306+M306+N306+O306</f>
        <v>10078.49</v>
      </c>
      <c r="H306" s="563">
        <f>SUM(I306:J306)</f>
        <v>10078.49</v>
      </c>
      <c r="I306" s="563">
        <v>0</v>
      </c>
      <c r="J306" s="563">
        <v>10078.49</v>
      </c>
      <c r="K306" s="563">
        <v>0</v>
      </c>
      <c r="L306" s="563">
        <v>0</v>
      </c>
      <c r="M306" s="563">
        <v>0</v>
      </c>
      <c r="N306" s="563">
        <v>0</v>
      </c>
      <c r="O306" s="563">
        <v>0</v>
      </c>
      <c r="P306" s="563">
        <f>Q306+S306</f>
        <v>0</v>
      </c>
      <c r="Q306" s="563">
        <v>0</v>
      </c>
      <c r="R306" s="564">
        <v>0</v>
      </c>
      <c r="S306" s="563">
        <v>0</v>
      </c>
    </row>
    <row r="307" spans="1:19" ht="13.5" customHeight="1">
      <c r="A307" s="561"/>
      <c r="B307" s="561"/>
      <c r="C307" s="562" t="s">
        <v>304</v>
      </c>
      <c r="D307" s="563">
        <v>26300</v>
      </c>
      <c r="E307" s="563">
        <f>G307+P307</f>
        <v>24128.44</v>
      </c>
      <c r="F307" s="563">
        <f t="shared" si="115"/>
        <v>91.74311787072243</v>
      </c>
      <c r="G307" s="563">
        <f>H307+K307+L307+M307+N307+O307</f>
        <v>24128.44</v>
      </c>
      <c r="H307" s="563">
        <f>SUM(I307:J307)</f>
        <v>24128.44</v>
      </c>
      <c r="I307" s="563">
        <v>0</v>
      </c>
      <c r="J307" s="563">
        <v>24128.44</v>
      </c>
      <c r="K307" s="563">
        <v>0</v>
      </c>
      <c r="L307" s="563">
        <v>0</v>
      </c>
      <c r="M307" s="563">
        <v>0</v>
      </c>
      <c r="N307" s="563">
        <v>0</v>
      </c>
      <c r="O307" s="563">
        <v>0</v>
      </c>
      <c r="P307" s="563">
        <f>Q307+S307</f>
        <v>0</v>
      </c>
      <c r="Q307" s="563">
        <v>0</v>
      </c>
      <c r="R307" s="564">
        <v>0</v>
      </c>
      <c r="S307" s="563">
        <v>0</v>
      </c>
    </row>
    <row r="308" spans="1:19" ht="13.5" customHeight="1">
      <c r="A308" s="561"/>
      <c r="B308" s="561"/>
      <c r="C308" s="562" t="s">
        <v>145</v>
      </c>
      <c r="D308" s="563">
        <v>2700</v>
      </c>
      <c r="E308" s="563">
        <f>G308+P308</f>
        <v>2520</v>
      </c>
      <c r="F308" s="563">
        <f t="shared" si="115"/>
        <v>93.33333333333333</v>
      </c>
      <c r="G308" s="563">
        <f>H308+K308+L308+M308+N308+O308</f>
        <v>2520</v>
      </c>
      <c r="H308" s="563">
        <f>SUM(I308:J308)</f>
        <v>2520</v>
      </c>
      <c r="I308" s="563">
        <v>0</v>
      </c>
      <c r="J308" s="563">
        <v>2520</v>
      </c>
      <c r="K308" s="563">
        <v>0</v>
      </c>
      <c r="L308" s="563">
        <v>0</v>
      </c>
      <c r="M308" s="563">
        <v>0</v>
      </c>
      <c r="N308" s="563">
        <v>0</v>
      </c>
      <c r="O308" s="563">
        <v>0</v>
      </c>
      <c r="P308" s="563">
        <f>Q308+S308</f>
        <v>0</v>
      </c>
      <c r="Q308" s="563">
        <v>0</v>
      </c>
      <c r="R308" s="564">
        <v>0</v>
      </c>
      <c r="S308" s="563">
        <v>0</v>
      </c>
    </row>
    <row r="309" spans="1:19" ht="13.5" customHeight="1">
      <c r="A309" s="561"/>
      <c r="B309" s="554" t="s">
        <v>96</v>
      </c>
      <c r="C309" s="554"/>
      <c r="D309" s="560">
        <f>SUM(D310:D325)</f>
        <v>591603</v>
      </c>
      <c r="E309" s="560">
        <f>SUM(E310:E325)</f>
        <v>574218.93</v>
      </c>
      <c r="F309" s="560">
        <f aca="true" t="shared" si="143" ref="F309:F327">E309/D309*100</f>
        <v>97.0615311281383</v>
      </c>
      <c r="G309" s="560">
        <f aca="true" t="shared" si="144" ref="G309:S309">SUM(G310:G325)</f>
        <v>574218.93</v>
      </c>
      <c r="H309" s="560">
        <f t="shared" si="144"/>
        <v>573477.0500000002</v>
      </c>
      <c r="I309" s="560">
        <f t="shared" si="144"/>
        <v>453057.05000000005</v>
      </c>
      <c r="J309" s="560">
        <f t="shared" si="144"/>
        <v>120420</v>
      </c>
      <c r="K309" s="560">
        <f t="shared" si="144"/>
        <v>0</v>
      </c>
      <c r="L309" s="560">
        <f t="shared" si="144"/>
        <v>741.88</v>
      </c>
      <c r="M309" s="560">
        <f t="shared" si="144"/>
        <v>0</v>
      </c>
      <c r="N309" s="560">
        <f t="shared" si="144"/>
        <v>0</v>
      </c>
      <c r="O309" s="560">
        <f t="shared" si="144"/>
        <v>0</v>
      </c>
      <c r="P309" s="560">
        <f t="shared" si="144"/>
        <v>0</v>
      </c>
      <c r="Q309" s="560">
        <f t="shared" si="144"/>
        <v>0</v>
      </c>
      <c r="R309" s="560">
        <f t="shared" si="144"/>
        <v>0</v>
      </c>
      <c r="S309" s="560">
        <f t="shared" si="144"/>
        <v>0</v>
      </c>
    </row>
    <row r="310" spans="1:19" ht="13.5" customHeight="1">
      <c r="A310" s="561"/>
      <c r="B310" s="561"/>
      <c r="C310" s="562" t="s">
        <v>307</v>
      </c>
      <c r="D310" s="563">
        <v>1660</v>
      </c>
      <c r="E310" s="563">
        <f>G310+P310</f>
        <v>741.88</v>
      </c>
      <c r="F310" s="563">
        <f t="shared" si="143"/>
        <v>44.69156626506024</v>
      </c>
      <c r="G310" s="563">
        <f>H310+K310+L310+M310+N310+O310</f>
        <v>741.88</v>
      </c>
      <c r="H310" s="563">
        <f>SUM(I310:J310)</f>
        <v>0</v>
      </c>
      <c r="I310" s="563">
        <v>0</v>
      </c>
      <c r="J310" s="563">
        <v>0</v>
      </c>
      <c r="K310" s="563">
        <v>0</v>
      </c>
      <c r="L310" s="563">
        <v>741.88</v>
      </c>
      <c r="M310" s="563">
        <v>0</v>
      </c>
      <c r="N310" s="563">
        <v>0</v>
      </c>
      <c r="O310" s="563">
        <v>0</v>
      </c>
      <c r="P310" s="563">
        <f>Q310+S310</f>
        <v>0</v>
      </c>
      <c r="Q310" s="563">
        <v>0</v>
      </c>
      <c r="R310" s="564">
        <v>0</v>
      </c>
      <c r="S310" s="563">
        <v>0</v>
      </c>
    </row>
    <row r="311" spans="1:19" ht="13.5" customHeight="1">
      <c r="A311" s="561"/>
      <c r="B311" s="561"/>
      <c r="C311" s="562" t="s">
        <v>295</v>
      </c>
      <c r="D311" s="563">
        <v>332477</v>
      </c>
      <c r="E311" s="563">
        <f>G311+P311</f>
        <v>329817.26</v>
      </c>
      <c r="F311" s="563">
        <f t="shared" si="143"/>
        <v>99.20002285872407</v>
      </c>
      <c r="G311" s="563">
        <f>H311+K311+L311+M311+N311+O311</f>
        <v>329817.26</v>
      </c>
      <c r="H311" s="563">
        <f>SUM(I311:J311)</f>
        <v>329817.26</v>
      </c>
      <c r="I311" s="563">
        <v>329817.26</v>
      </c>
      <c r="J311" s="563">
        <v>0</v>
      </c>
      <c r="K311" s="563">
        <v>0</v>
      </c>
      <c r="L311" s="563">
        <v>0</v>
      </c>
      <c r="M311" s="563">
        <v>0</v>
      </c>
      <c r="N311" s="563">
        <v>0</v>
      </c>
      <c r="O311" s="563">
        <v>0</v>
      </c>
      <c r="P311" s="563">
        <f>Q311+S311</f>
        <v>0</v>
      </c>
      <c r="Q311" s="563">
        <v>0</v>
      </c>
      <c r="R311" s="564">
        <v>0</v>
      </c>
      <c r="S311" s="563">
        <v>0</v>
      </c>
    </row>
    <row r="312" spans="1:19" ht="13.5" customHeight="1">
      <c r="A312" s="561"/>
      <c r="B312" s="561"/>
      <c r="C312" s="562" t="s">
        <v>296</v>
      </c>
      <c r="D312" s="563">
        <v>52668</v>
      </c>
      <c r="E312" s="563">
        <f>G312+P312</f>
        <v>52367.03</v>
      </c>
      <c r="F312" s="563">
        <f t="shared" si="143"/>
        <v>99.42855244171034</v>
      </c>
      <c r="G312" s="563">
        <f>H312+K312+L312+M312+N312+O312</f>
        <v>52367.03</v>
      </c>
      <c r="H312" s="563">
        <f>SUM(I312:J312)</f>
        <v>52367.03</v>
      </c>
      <c r="I312" s="563">
        <v>52367.03</v>
      </c>
      <c r="J312" s="563">
        <v>0</v>
      </c>
      <c r="K312" s="563">
        <v>0</v>
      </c>
      <c r="L312" s="563">
        <v>0</v>
      </c>
      <c r="M312" s="563">
        <v>0</v>
      </c>
      <c r="N312" s="563">
        <v>0</v>
      </c>
      <c r="O312" s="563">
        <v>0</v>
      </c>
      <c r="P312" s="563">
        <f>Q312+S312</f>
        <v>0</v>
      </c>
      <c r="Q312" s="563">
        <v>0</v>
      </c>
      <c r="R312" s="564">
        <v>0</v>
      </c>
      <c r="S312" s="563">
        <v>0</v>
      </c>
    </row>
    <row r="313" spans="1:19" ht="13.5" customHeight="1">
      <c r="A313" s="561"/>
      <c r="B313" s="561"/>
      <c r="C313" s="562" t="s">
        <v>297</v>
      </c>
      <c r="D313" s="563">
        <v>65080</v>
      </c>
      <c r="E313" s="563">
        <f>G313+P313</f>
        <v>63447.77</v>
      </c>
      <c r="F313" s="563">
        <f t="shared" si="143"/>
        <v>97.49196373693914</v>
      </c>
      <c r="G313" s="563">
        <f>H313+K313+L313+M313+N313+O313</f>
        <v>63447.77</v>
      </c>
      <c r="H313" s="563">
        <f>SUM(I313:J313)</f>
        <v>63447.77</v>
      </c>
      <c r="I313" s="563">
        <v>63447.77</v>
      </c>
      <c r="J313" s="563">
        <v>0</v>
      </c>
      <c r="K313" s="563">
        <v>0</v>
      </c>
      <c r="L313" s="563">
        <v>0</v>
      </c>
      <c r="M313" s="563">
        <v>0</v>
      </c>
      <c r="N313" s="563">
        <v>0</v>
      </c>
      <c r="O313" s="563">
        <v>0</v>
      </c>
      <c r="P313" s="563">
        <f>Q313+S313</f>
        <v>0</v>
      </c>
      <c r="Q313" s="563">
        <v>0</v>
      </c>
      <c r="R313" s="564">
        <v>0</v>
      </c>
      <c r="S313" s="563">
        <v>0</v>
      </c>
    </row>
    <row r="314" spans="1:19" ht="13.5" customHeight="1">
      <c r="A314" s="561"/>
      <c r="B314" s="561"/>
      <c r="C314" s="562" t="s">
        <v>298</v>
      </c>
      <c r="D314" s="563">
        <v>7354</v>
      </c>
      <c r="E314" s="563">
        <f>G314+P314</f>
        <v>6924.99</v>
      </c>
      <c r="F314" s="563">
        <f t="shared" si="143"/>
        <v>94.16630405221647</v>
      </c>
      <c r="G314" s="563">
        <f>H314+K314+L314+M314+N314+O314</f>
        <v>6924.99</v>
      </c>
      <c r="H314" s="563">
        <f>SUM(I314:J314)</f>
        <v>6924.99</v>
      </c>
      <c r="I314" s="563">
        <v>6924.99</v>
      </c>
      <c r="J314" s="563">
        <v>0</v>
      </c>
      <c r="K314" s="563">
        <v>0</v>
      </c>
      <c r="L314" s="563">
        <v>0</v>
      </c>
      <c r="M314" s="563">
        <v>0</v>
      </c>
      <c r="N314" s="563">
        <v>0</v>
      </c>
      <c r="O314" s="563">
        <v>0</v>
      </c>
      <c r="P314" s="563">
        <f>Q314+S314</f>
        <v>0</v>
      </c>
      <c r="Q314" s="563">
        <v>0</v>
      </c>
      <c r="R314" s="564">
        <v>0</v>
      </c>
      <c r="S314" s="563">
        <v>0</v>
      </c>
    </row>
    <row r="315" spans="1:19" ht="13.5" customHeight="1">
      <c r="A315" s="561"/>
      <c r="B315" s="561"/>
      <c r="C315" s="562" t="s">
        <v>305</v>
      </c>
      <c r="D315" s="563">
        <v>2000</v>
      </c>
      <c r="E315" s="563">
        <f aca="true" t="shared" si="145" ref="E315:E325">G315+P315</f>
        <v>500</v>
      </c>
      <c r="F315" s="563">
        <f t="shared" si="143"/>
        <v>25</v>
      </c>
      <c r="G315" s="563">
        <f aca="true" t="shared" si="146" ref="G315:G325">H315+K315+L315+M315+N315+O315</f>
        <v>500</v>
      </c>
      <c r="H315" s="563">
        <f aca="true" t="shared" si="147" ref="H315:H325">SUM(I315:J315)</f>
        <v>500</v>
      </c>
      <c r="I315" s="563">
        <v>500</v>
      </c>
      <c r="J315" s="563">
        <v>0</v>
      </c>
      <c r="K315" s="563">
        <v>0</v>
      </c>
      <c r="L315" s="563">
        <v>0</v>
      </c>
      <c r="M315" s="563">
        <v>0</v>
      </c>
      <c r="N315" s="563">
        <v>0</v>
      </c>
      <c r="O315" s="563">
        <v>0</v>
      </c>
      <c r="P315" s="563">
        <f aca="true" t="shared" si="148" ref="P315:P325">Q315+S315</f>
        <v>0</v>
      </c>
      <c r="Q315" s="563">
        <v>0</v>
      </c>
      <c r="R315" s="564">
        <v>0</v>
      </c>
      <c r="S315" s="563">
        <v>0</v>
      </c>
    </row>
    <row r="316" spans="1:19" ht="13.5" customHeight="1">
      <c r="A316" s="561"/>
      <c r="B316" s="561"/>
      <c r="C316" s="562" t="s">
        <v>123</v>
      </c>
      <c r="D316" s="563">
        <v>30563</v>
      </c>
      <c r="E316" s="563">
        <f t="shared" si="145"/>
        <v>30476.8</v>
      </c>
      <c r="F316" s="563">
        <f t="shared" si="143"/>
        <v>99.71795962438243</v>
      </c>
      <c r="G316" s="563">
        <f t="shared" si="146"/>
        <v>30476.8</v>
      </c>
      <c r="H316" s="563">
        <f t="shared" si="147"/>
        <v>30476.8</v>
      </c>
      <c r="I316" s="563">
        <v>0</v>
      </c>
      <c r="J316" s="563">
        <v>30476.8</v>
      </c>
      <c r="K316" s="563">
        <v>0</v>
      </c>
      <c r="L316" s="563">
        <v>0</v>
      </c>
      <c r="M316" s="563">
        <v>0</v>
      </c>
      <c r="N316" s="563">
        <v>0</v>
      </c>
      <c r="O316" s="563">
        <v>0</v>
      </c>
      <c r="P316" s="563">
        <f t="shared" si="148"/>
        <v>0</v>
      </c>
      <c r="Q316" s="563">
        <v>0</v>
      </c>
      <c r="R316" s="564">
        <v>0</v>
      </c>
      <c r="S316" s="563">
        <v>0</v>
      </c>
    </row>
    <row r="317" spans="1:19" ht="13.5" customHeight="1">
      <c r="A317" s="561"/>
      <c r="B317" s="561"/>
      <c r="C317" s="562" t="s">
        <v>315</v>
      </c>
      <c r="D317" s="563">
        <v>24000</v>
      </c>
      <c r="E317" s="563">
        <f t="shared" si="145"/>
        <v>16639.16</v>
      </c>
      <c r="F317" s="563">
        <f t="shared" si="143"/>
        <v>69.32983333333334</v>
      </c>
      <c r="G317" s="563">
        <f t="shared" si="146"/>
        <v>16639.16</v>
      </c>
      <c r="H317" s="563">
        <f t="shared" si="147"/>
        <v>16639.16</v>
      </c>
      <c r="I317" s="563">
        <v>0</v>
      </c>
      <c r="J317" s="563">
        <v>16639.16</v>
      </c>
      <c r="K317" s="563">
        <v>0</v>
      </c>
      <c r="L317" s="563">
        <v>0</v>
      </c>
      <c r="M317" s="563">
        <v>0</v>
      </c>
      <c r="N317" s="563">
        <v>0</v>
      </c>
      <c r="O317" s="563">
        <v>0</v>
      </c>
      <c r="P317" s="563">
        <f t="shared" si="148"/>
        <v>0</v>
      </c>
      <c r="Q317" s="563">
        <v>0</v>
      </c>
      <c r="R317" s="564">
        <v>0</v>
      </c>
      <c r="S317" s="563">
        <v>0</v>
      </c>
    </row>
    <row r="318" spans="1:19" ht="13.5" customHeight="1">
      <c r="A318" s="561"/>
      <c r="B318" s="561"/>
      <c r="C318" s="562" t="s">
        <v>124</v>
      </c>
      <c r="D318" s="563">
        <v>4100</v>
      </c>
      <c r="E318" s="563">
        <f t="shared" si="145"/>
        <v>3762.58</v>
      </c>
      <c r="F318" s="563">
        <f t="shared" si="143"/>
        <v>91.77024390243902</v>
      </c>
      <c r="G318" s="563">
        <f t="shared" si="146"/>
        <v>3762.58</v>
      </c>
      <c r="H318" s="563">
        <f t="shared" si="147"/>
        <v>3762.58</v>
      </c>
      <c r="I318" s="563">
        <v>0</v>
      </c>
      <c r="J318" s="563">
        <v>3762.58</v>
      </c>
      <c r="K318" s="563">
        <v>0</v>
      </c>
      <c r="L318" s="563">
        <v>0</v>
      </c>
      <c r="M318" s="563">
        <v>0</v>
      </c>
      <c r="N318" s="563">
        <v>0</v>
      </c>
      <c r="O318" s="563">
        <v>0</v>
      </c>
      <c r="P318" s="563">
        <f t="shared" si="148"/>
        <v>0</v>
      </c>
      <c r="Q318" s="563">
        <v>0</v>
      </c>
      <c r="R318" s="564">
        <v>0</v>
      </c>
      <c r="S318" s="563">
        <v>0</v>
      </c>
    </row>
    <row r="319" spans="1:19" ht="13.5" customHeight="1">
      <c r="A319" s="561"/>
      <c r="B319" s="561"/>
      <c r="C319" s="562" t="s">
        <v>306</v>
      </c>
      <c r="D319" s="563">
        <v>1509</v>
      </c>
      <c r="E319" s="563">
        <f t="shared" si="145"/>
        <v>1509</v>
      </c>
      <c r="F319" s="563">
        <f t="shared" si="143"/>
        <v>100</v>
      </c>
      <c r="G319" s="563">
        <f t="shared" si="146"/>
        <v>1509</v>
      </c>
      <c r="H319" s="563">
        <f t="shared" si="147"/>
        <v>1509</v>
      </c>
      <c r="I319" s="563">
        <v>0</v>
      </c>
      <c r="J319" s="563">
        <v>1509</v>
      </c>
      <c r="K319" s="563">
        <v>0</v>
      </c>
      <c r="L319" s="563">
        <v>0</v>
      </c>
      <c r="M319" s="563">
        <v>0</v>
      </c>
      <c r="N319" s="563">
        <v>0</v>
      </c>
      <c r="O319" s="563">
        <v>0</v>
      </c>
      <c r="P319" s="563">
        <f t="shared" si="148"/>
        <v>0</v>
      </c>
      <c r="Q319" s="563">
        <v>0</v>
      </c>
      <c r="R319" s="564">
        <v>0</v>
      </c>
      <c r="S319" s="563">
        <v>0</v>
      </c>
    </row>
    <row r="320" spans="1:19" ht="13.5" customHeight="1">
      <c r="A320" s="561"/>
      <c r="B320" s="561"/>
      <c r="C320" s="562" t="s">
        <v>125</v>
      </c>
      <c r="D320" s="563">
        <v>53233</v>
      </c>
      <c r="E320" s="563">
        <f t="shared" si="145"/>
        <v>53233</v>
      </c>
      <c r="F320" s="563">
        <f t="shared" si="143"/>
        <v>100</v>
      </c>
      <c r="G320" s="563">
        <f t="shared" si="146"/>
        <v>53233</v>
      </c>
      <c r="H320" s="563">
        <f t="shared" si="147"/>
        <v>53233</v>
      </c>
      <c r="I320" s="563">
        <v>0</v>
      </c>
      <c r="J320" s="563">
        <v>53233</v>
      </c>
      <c r="K320" s="563">
        <v>0</v>
      </c>
      <c r="L320" s="563">
        <v>0</v>
      </c>
      <c r="M320" s="563">
        <v>0</v>
      </c>
      <c r="N320" s="563">
        <v>0</v>
      </c>
      <c r="O320" s="563">
        <v>0</v>
      </c>
      <c r="P320" s="563">
        <f t="shared" si="148"/>
        <v>0</v>
      </c>
      <c r="Q320" s="563">
        <v>0</v>
      </c>
      <c r="R320" s="564">
        <v>0</v>
      </c>
      <c r="S320" s="563">
        <v>0</v>
      </c>
    </row>
    <row r="321" spans="1:19" ht="13.5" customHeight="1">
      <c r="A321" s="561"/>
      <c r="B321" s="561"/>
      <c r="C321" s="562" t="s">
        <v>300</v>
      </c>
      <c r="D321" s="563">
        <v>7290</v>
      </c>
      <c r="E321" s="563">
        <f t="shared" si="145"/>
        <v>6541.79</v>
      </c>
      <c r="F321" s="563">
        <f t="shared" si="143"/>
        <v>89.73648834019204</v>
      </c>
      <c r="G321" s="563">
        <f t="shared" si="146"/>
        <v>6541.79</v>
      </c>
      <c r="H321" s="563">
        <f t="shared" si="147"/>
        <v>6541.79</v>
      </c>
      <c r="I321" s="563">
        <v>0</v>
      </c>
      <c r="J321" s="563">
        <v>6541.79</v>
      </c>
      <c r="K321" s="563">
        <v>0</v>
      </c>
      <c r="L321" s="563">
        <v>0</v>
      </c>
      <c r="M321" s="563">
        <v>0</v>
      </c>
      <c r="N321" s="563">
        <v>0</v>
      </c>
      <c r="O321" s="563">
        <v>0</v>
      </c>
      <c r="P321" s="563">
        <f t="shared" si="148"/>
        <v>0</v>
      </c>
      <c r="Q321" s="563">
        <v>0</v>
      </c>
      <c r="R321" s="564">
        <v>0</v>
      </c>
      <c r="S321" s="563">
        <v>0</v>
      </c>
    </row>
    <row r="322" spans="1:19" ht="13.5" customHeight="1">
      <c r="A322" s="561"/>
      <c r="B322" s="561"/>
      <c r="C322" s="562" t="s">
        <v>302</v>
      </c>
      <c r="D322" s="563">
        <v>3500</v>
      </c>
      <c r="E322" s="563">
        <f t="shared" si="145"/>
        <v>3028.51</v>
      </c>
      <c r="F322" s="563">
        <f t="shared" si="143"/>
        <v>86.52885714285715</v>
      </c>
      <c r="G322" s="563">
        <f t="shared" si="146"/>
        <v>3028.51</v>
      </c>
      <c r="H322" s="563">
        <f t="shared" si="147"/>
        <v>3028.51</v>
      </c>
      <c r="I322" s="563">
        <v>0</v>
      </c>
      <c r="J322" s="563">
        <v>3028.51</v>
      </c>
      <c r="K322" s="563">
        <v>0</v>
      </c>
      <c r="L322" s="563">
        <v>0</v>
      </c>
      <c r="M322" s="563">
        <v>0</v>
      </c>
      <c r="N322" s="563">
        <v>0</v>
      </c>
      <c r="O322" s="563">
        <v>0</v>
      </c>
      <c r="P322" s="563">
        <f t="shared" si="148"/>
        <v>0</v>
      </c>
      <c r="Q322" s="563">
        <v>0</v>
      </c>
      <c r="R322" s="564">
        <v>0</v>
      </c>
      <c r="S322" s="563">
        <v>0</v>
      </c>
    </row>
    <row r="323" spans="1:19" ht="13.5" customHeight="1">
      <c r="A323" s="561"/>
      <c r="B323" s="561"/>
      <c r="C323" s="562" t="s">
        <v>303</v>
      </c>
      <c r="D323" s="563">
        <v>5100</v>
      </c>
      <c r="E323" s="563">
        <f t="shared" si="145"/>
        <v>4160.53</v>
      </c>
      <c r="F323" s="563">
        <f t="shared" si="143"/>
        <v>81.57901960784312</v>
      </c>
      <c r="G323" s="563">
        <f t="shared" si="146"/>
        <v>4160.53</v>
      </c>
      <c r="H323" s="563">
        <f t="shared" si="147"/>
        <v>4160.53</v>
      </c>
      <c r="I323" s="563">
        <v>0</v>
      </c>
      <c r="J323" s="563">
        <v>4160.53</v>
      </c>
      <c r="K323" s="563">
        <v>0</v>
      </c>
      <c r="L323" s="563">
        <v>0</v>
      </c>
      <c r="M323" s="563">
        <v>0</v>
      </c>
      <c r="N323" s="563">
        <v>0</v>
      </c>
      <c r="O323" s="563">
        <v>0</v>
      </c>
      <c r="P323" s="563">
        <f t="shared" si="148"/>
        <v>0</v>
      </c>
      <c r="Q323" s="563">
        <v>0</v>
      </c>
      <c r="R323" s="564">
        <v>0</v>
      </c>
      <c r="S323" s="563">
        <v>0</v>
      </c>
    </row>
    <row r="324" spans="1:19" ht="13.5" customHeight="1">
      <c r="A324" s="561"/>
      <c r="B324" s="561"/>
      <c r="C324" s="562" t="s">
        <v>319</v>
      </c>
      <c r="D324" s="563">
        <v>241</v>
      </c>
      <c r="E324" s="563">
        <f t="shared" si="145"/>
        <v>240.58</v>
      </c>
      <c r="F324" s="563">
        <f t="shared" si="143"/>
        <v>99.82572614107885</v>
      </c>
      <c r="G324" s="563">
        <f t="shared" si="146"/>
        <v>240.58</v>
      </c>
      <c r="H324" s="563">
        <f t="shared" si="147"/>
        <v>240.58</v>
      </c>
      <c r="I324" s="563">
        <v>0</v>
      </c>
      <c r="J324" s="563">
        <v>240.58</v>
      </c>
      <c r="K324" s="563">
        <v>0</v>
      </c>
      <c r="L324" s="563">
        <v>0</v>
      </c>
      <c r="M324" s="563">
        <v>0</v>
      </c>
      <c r="N324" s="563">
        <v>0</v>
      </c>
      <c r="O324" s="563">
        <v>0</v>
      </c>
      <c r="P324" s="563">
        <f t="shared" si="148"/>
        <v>0</v>
      </c>
      <c r="Q324" s="563">
        <v>0</v>
      </c>
      <c r="R324" s="564">
        <v>0</v>
      </c>
      <c r="S324" s="563">
        <v>0</v>
      </c>
    </row>
    <row r="325" spans="1:19" ht="13.5" customHeight="1">
      <c r="A325" s="561"/>
      <c r="B325" s="561"/>
      <c r="C325" s="562" t="s">
        <v>145</v>
      </c>
      <c r="D325" s="563">
        <v>828</v>
      </c>
      <c r="E325" s="563">
        <f t="shared" si="145"/>
        <v>828.05</v>
      </c>
      <c r="F325" s="563">
        <f t="shared" si="143"/>
        <v>100.00603864734299</v>
      </c>
      <c r="G325" s="563">
        <f t="shared" si="146"/>
        <v>828.05</v>
      </c>
      <c r="H325" s="563">
        <f t="shared" si="147"/>
        <v>828.05</v>
      </c>
      <c r="I325" s="563">
        <v>0</v>
      </c>
      <c r="J325" s="563">
        <v>828.05</v>
      </c>
      <c r="K325" s="563">
        <v>0</v>
      </c>
      <c r="L325" s="563">
        <v>0</v>
      </c>
      <c r="M325" s="563">
        <v>0</v>
      </c>
      <c r="N325" s="563">
        <v>0</v>
      </c>
      <c r="O325" s="563">
        <v>0</v>
      </c>
      <c r="P325" s="563">
        <f t="shared" si="148"/>
        <v>0</v>
      </c>
      <c r="Q325" s="563">
        <v>0</v>
      </c>
      <c r="R325" s="564">
        <v>0</v>
      </c>
      <c r="S325" s="563">
        <v>0</v>
      </c>
    </row>
    <row r="326" spans="1:19" ht="13.5" customHeight="1">
      <c r="A326" s="561"/>
      <c r="B326" s="554" t="s">
        <v>353</v>
      </c>
      <c r="C326" s="554"/>
      <c r="D326" s="560">
        <f>SUM(D327:D327)</f>
        <v>35520</v>
      </c>
      <c r="E326" s="560">
        <f>SUM(E327:E327)</f>
        <v>34357</v>
      </c>
      <c r="F326" s="560">
        <f t="shared" si="143"/>
        <v>96.72578828828829</v>
      </c>
      <c r="G326" s="560">
        <f aca="true" t="shared" si="149" ref="G326:S326">SUM(G327:G327)</f>
        <v>34357</v>
      </c>
      <c r="H326" s="560">
        <f t="shared" si="149"/>
        <v>34357</v>
      </c>
      <c r="I326" s="560">
        <f t="shared" si="149"/>
        <v>34357</v>
      </c>
      <c r="J326" s="560">
        <f t="shared" si="149"/>
        <v>0</v>
      </c>
      <c r="K326" s="560">
        <f t="shared" si="149"/>
        <v>0</v>
      </c>
      <c r="L326" s="560">
        <f t="shared" si="149"/>
        <v>0</v>
      </c>
      <c r="M326" s="560">
        <f t="shared" si="149"/>
        <v>0</v>
      </c>
      <c r="N326" s="560">
        <f t="shared" si="149"/>
        <v>0</v>
      </c>
      <c r="O326" s="560">
        <f t="shared" si="149"/>
        <v>0</v>
      </c>
      <c r="P326" s="560">
        <f t="shared" si="149"/>
        <v>0</v>
      </c>
      <c r="Q326" s="560">
        <f t="shared" si="149"/>
        <v>0</v>
      </c>
      <c r="R326" s="560">
        <f t="shared" si="149"/>
        <v>0</v>
      </c>
      <c r="S326" s="560">
        <f t="shared" si="149"/>
        <v>0</v>
      </c>
    </row>
    <row r="327" spans="1:19" ht="13.5" customHeight="1">
      <c r="A327" s="561"/>
      <c r="B327" s="561"/>
      <c r="C327" s="562" t="s">
        <v>305</v>
      </c>
      <c r="D327" s="563">
        <v>35520</v>
      </c>
      <c r="E327" s="563">
        <f>G327+P327</f>
        <v>34357</v>
      </c>
      <c r="F327" s="563">
        <f t="shared" si="143"/>
        <v>96.72578828828829</v>
      </c>
      <c r="G327" s="563">
        <f>H327+K327+L327+M327+N327+O327</f>
        <v>34357</v>
      </c>
      <c r="H327" s="563">
        <f>SUM(I327:J327)</f>
        <v>34357</v>
      </c>
      <c r="I327" s="563">
        <v>34357</v>
      </c>
      <c r="J327" s="563">
        <v>0</v>
      </c>
      <c r="K327" s="563">
        <v>0</v>
      </c>
      <c r="L327" s="563">
        <v>0</v>
      </c>
      <c r="M327" s="563">
        <v>0</v>
      </c>
      <c r="N327" s="563">
        <v>0</v>
      </c>
      <c r="O327" s="563">
        <v>0</v>
      </c>
      <c r="P327" s="563">
        <f>Q327+S327</f>
        <v>0</v>
      </c>
      <c r="Q327" s="563">
        <v>0</v>
      </c>
      <c r="R327" s="564">
        <v>0</v>
      </c>
      <c r="S327" s="563">
        <v>0</v>
      </c>
    </row>
    <row r="328" spans="1:19" ht="13.5" customHeight="1">
      <c r="A328" s="557" t="s">
        <v>28</v>
      </c>
      <c r="B328" s="557"/>
      <c r="C328" s="554"/>
      <c r="D328" s="560">
        <f>D329+D331+D334+D367</f>
        <v>3375654</v>
      </c>
      <c r="E328" s="560">
        <f>E329+E331+E334+E367</f>
        <v>3094648.9899999998</v>
      </c>
      <c r="F328" s="560">
        <f aca="true" t="shared" si="150" ref="F328:F335">E328/D328*100</f>
        <v>91.67553872523663</v>
      </c>
      <c r="G328" s="560">
        <f aca="true" t="shared" si="151" ref="G328:S328">G329+G331+G334+G367</f>
        <v>3088404.3499999996</v>
      </c>
      <c r="H328" s="560">
        <f t="shared" si="151"/>
        <v>2538974.76</v>
      </c>
      <c r="I328" s="560">
        <f t="shared" si="151"/>
        <v>2289227.77</v>
      </c>
      <c r="J328" s="560">
        <f t="shared" si="151"/>
        <v>249746.99000000002</v>
      </c>
      <c r="K328" s="560">
        <f t="shared" si="151"/>
        <v>78691</v>
      </c>
      <c r="L328" s="560">
        <f t="shared" si="151"/>
        <v>1187.3</v>
      </c>
      <c r="M328" s="560">
        <f t="shared" si="151"/>
        <v>469551.29</v>
      </c>
      <c r="N328" s="560">
        <f t="shared" si="151"/>
        <v>0</v>
      </c>
      <c r="O328" s="560">
        <f t="shared" si="151"/>
        <v>0</v>
      </c>
      <c r="P328" s="560">
        <f t="shared" si="151"/>
        <v>6244.64</v>
      </c>
      <c r="Q328" s="560">
        <f t="shared" si="151"/>
        <v>6244.64</v>
      </c>
      <c r="R328" s="560">
        <f t="shared" si="151"/>
        <v>0</v>
      </c>
      <c r="S328" s="560">
        <f t="shared" si="151"/>
        <v>0</v>
      </c>
    </row>
    <row r="329" spans="1:19" ht="13.5" customHeight="1">
      <c r="A329" s="557"/>
      <c r="B329" s="554" t="s">
        <v>170</v>
      </c>
      <c r="C329" s="554"/>
      <c r="D329" s="560">
        <f>SUM(D330:D330)</f>
        <v>78767</v>
      </c>
      <c r="E329" s="560">
        <f>SUM(E330:E330)</f>
        <v>78691</v>
      </c>
      <c r="F329" s="560">
        <f t="shared" si="150"/>
        <v>99.90351289245496</v>
      </c>
      <c r="G329" s="560">
        <f aca="true" t="shared" si="152" ref="G329:S329">SUM(G330:G330)</f>
        <v>78691</v>
      </c>
      <c r="H329" s="560">
        <f t="shared" si="152"/>
        <v>0</v>
      </c>
      <c r="I329" s="560">
        <f t="shared" si="152"/>
        <v>0</v>
      </c>
      <c r="J329" s="560">
        <f t="shared" si="152"/>
        <v>0</v>
      </c>
      <c r="K329" s="560">
        <f t="shared" si="152"/>
        <v>78691</v>
      </c>
      <c r="L329" s="560">
        <f t="shared" si="152"/>
        <v>0</v>
      </c>
      <c r="M329" s="560">
        <f t="shared" si="152"/>
        <v>0</v>
      </c>
      <c r="N329" s="560">
        <f t="shared" si="152"/>
        <v>0</v>
      </c>
      <c r="O329" s="560">
        <f t="shared" si="152"/>
        <v>0</v>
      </c>
      <c r="P329" s="560">
        <f t="shared" si="152"/>
        <v>0</v>
      </c>
      <c r="Q329" s="560">
        <f t="shared" si="152"/>
        <v>0</v>
      </c>
      <c r="R329" s="560">
        <f t="shared" si="152"/>
        <v>0</v>
      </c>
      <c r="S329" s="560">
        <f t="shared" si="152"/>
        <v>0</v>
      </c>
    </row>
    <row r="330" spans="1:19" ht="13.5" customHeight="1">
      <c r="A330" s="561"/>
      <c r="B330" s="561"/>
      <c r="C330" s="562" t="s">
        <v>229</v>
      </c>
      <c r="D330" s="563">
        <v>78767</v>
      </c>
      <c r="E330" s="563">
        <f>G330+P330</f>
        <v>78691</v>
      </c>
      <c r="F330" s="563">
        <f t="shared" si="150"/>
        <v>99.90351289245496</v>
      </c>
      <c r="G330" s="563">
        <f>H330+K330+L330+M330+N330+O330</f>
        <v>78691</v>
      </c>
      <c r="H330" s="563">
        <f>SUM(I330:J330)</f>
        <v>0</v>
      </c>
      <c r="I330" s="563">
        <v>0</v>
      </c>
      <c r="J330" s="563">
        <v>0</v>
      </c>
      <c r="K330" s="563">
        <v>78691</v>
      </c>
      <c r="L330" s="563">
        <v>0</v>
      </c>
      <c r="M330" s="563">
        <v>0</v>
      </c>
      <c r="N330" s="563">
        <v>0</v>
      </c>
      <c r="O330" s="563">
        <v>0</v>
      </c>
      <c r="P330" s="563">
        <f>Q330+S330</f>
        <v>0</v>
      </c>
      <c r="Q330" s="563">
        <v>0</v>
      </c>
      <c r="R330" s="564">
        <v>0</v>
      </c>
      <c r="S330" s="563">
        <v>0</v>
      </c>
    </row>
    <row r="331" spans="1:19" ht="13.5" customHeight="1">
      <c r="A331" s="561"/>
      <c r="B331" s="554" t="s">
        <v>76</v>
      </c>
      <c r="C331" s="554"/>
      <c r="D331" s="560">
        <f>SUM(D332:D333)</f>
        <v>66600</v>
      </c>
      <c r="E331" s="560">
        <f>SUM(E332:E333)</f>
        <v>56980</v>
      </c>
      <c r="F331" s="560">
        <f t="shared" si="150"/>
        <v>85.55555555555556</v>
      </c>
      <c r="G331" s="560">
        <f aca="true" t="shared" si="153" ref="G331:S331">SUM(G332:G333)</f>
        <v>56980</v>
      </c>
      <c r="H331" s="560">
        <f t="shared" si="153"/>
        <v>56980</v>
      </c>
      <c r="I331" s="560">
        <f t="shared" si="153"/>
        <v>5980</v>
      </c>
      <c r="J331" s="560">
        <f t="shared" si="153"/>
        <v>51000</v>
      </c>
      <c r="K331" s="560">
        <f t="shared" si="153"/>
        <v>0</v>
      </c>
      <c r="L331" s="560">
        <f t="shared" si="153"/>
        <v>0</v>
      </c>
      <c r="M331" s="560">
        <f t="shared" si="153"/>
        <v>0</v>
      </c>
      <c r="N331" s="560">
        <f t="shared" si="153"/>
        <v>0</v>
      </c>
      <c r="O331" s="560">
        <f t="shared" si="153"/>
        <v>0</v>
      </c>
      <c r="P331" s="560">
        <f t="shared" si="153"/>
        <v>0</v>
      </c>
      <c r="Q331" s="560">
        <f t="shared" si="153"/>
        <v>0</v>
      </c>
      <c r="R331" s="560">
        <f t="shared" si="153"/>
        <v>0</v>
      </c>
      <c r="S331" s="560">
        <f t="shared" si="153"/>
        <v>0</v>
      </c>
    </row>
    <row r="332" spans="1:19" ht="13.5" customHeight="1">
      <c r="A332" s="561"/>
      <c r="B332" s="561"/>
      <c r="C332" s="562" t="s">
        <v>305</v>
      </c>
      <c r="D332" s="563">
        <v>6000</v>
      </c>
      <c r="E332" s="563">
        <f>G332+P332</f>
        <v>5980</v>
      </c>
      <c r="F332" s="563">
        <f t="shared" si="150"/>
        <v>99.66666666666667</v>
      </c>
      <c r="G332" s="563">
        <f>H332+K332+L332+M332+N332+O332</f>
        <v>5980</v>
      </c>
      <c r="H332" s="563">
        <f>SUM(I332:J332)</f>
        <v>5980</v>
      </c>
      <c r="I332" s="563">
        <v>5980</v>
      </c>
      <c r="J332" s="563">
        <v>0</v>
      </c>
      <c r="K332" s="563">
        <v>0</v>
      </c>
      <c r="L332" s="563">
        <v>0</v>
      </c>
      <c r="M332" s="563">
        <v>0</v>
      </c>
      <c r="N332" s="563">
        <v>0</v>
      </c>
      <c r="O332" s="563">
        <v>0</v>
      </c>
      <c r="P332" s="563">
        <f>Q332+S332</f>
        <v>0</v>
      </c>
      <c r="Q332" s="563">
        <v>0</v>
      </c>
      <c r="R332" s="564">
        <v>0</v>
      </c>
      <c r="S332" s="563">
        <v>0</v>
      </c>
    </row>
    <row r="333" spans="1:19" ht="13.5" customHeight="1">
      <c r="A333" s="561"/>
      <c r="B333" s="561"/>
      <c r="C333" s="562" t="s">
        <v>301</v>
      </c>
      <c r="D333" s="563">
        <v>60600</v>
      </c>
      <c r="E333" s="563">
        <f>G333+P333</f>
        <v>51000</v>
      </c>
      <c r="F333" s="563">
        <f>E333/D333*100</f>
        <v>84.15841584158416</v>
      </c>
      <c r="G333" s="563">
        <f>H333+K333+L333+M333+N333+O333</f>
        <v>51000</v>
      </c>
      <c r="H333" s="563">
        <f>SUM(I333:J333)</f>
        <v>51000</v>
      </c>
      <c r="I333" s="563">
        <v>0</v>
      </c>
      <c r="J333" s="563">
        <v>51000</v>
      </c>
      <c r="K333" s="563">
        <v>0</v>
      </c>
      <c r="L333" s="563">
        <v>0</v>
      </c>
      <c r="M333" s="563">
        <v>0</v>
      </c>
      <c r="N333" s="563">
        <v>0</v>
      </c>
      <c r="O333" s="563">
        <v>0</v>
      </c>
      <c r="P333" s="563">
        <f>Q333+S333</f>
        <v>0</v>
      </c>
      <c r="Q333" s="563">
        <v>0</v>
      </c>
      <c r="R333" s="564">
        <v>0</v>
      </c>
      <c r="S333" s="563">
        <v>0</v>
      </c>
    </row>
    <row r="334" spans="1:19" ht="13.5" customHeight="1">
      <c r="A334" s="561"/>
      <c r="B334" s="554" t="s">
        <v>30</v>
      </c>
      <c r="C334" s="554"/>
      <c r="D334" s="560">
        <f>SUM(D335:D366)</f>
        <v>2620512</v>
      </c>
      <c r="E334" s="560">
        <f>SUM(E335:E366)</f>
        <v>2563158.19</v>
      </c>
      <c r="F334" s="560">
        <f t="shared" si="150"/>
        <v>97.81135098789855</v>
      </c>
      <c r="G334" s="560">
        <f aca="true" t="shared" si="154" ref="G334:S334">SUM(G335:G366)</f>
        <v>2556913.55</v>
      </c>
      <c r="H334" s="560">
        <f t="shared" si="154"/>
        <v>2464635.6199999996</v>
      </c>
      <c r="I334" s="560">
        <f t="shared" si="154"/>
        <v>2265888.63</v>
      </c>
      <c r="J334" s="560">
        <f t="shared" si="154"/>
        <v>198746.99000000002</v>
      </c>
      <c r="K334" s="560">
        <f t="shared" si="154"/>
        <v>0</v>
      </c>
      <c r="L334" s="560">
        <f t="shared" si="154"/>
        <v>1187.3</v>
      </c>
      <c r="M334" s="560">
        <f t="shared" si="154"/>
        <v>91090.63</v>
      </c>
      <c r="N334" s="560">
        <f t="shared" si="154"/>
        <v>0</v>
      </c>
      <c r="O334" s="560">
        <f t="shared" si="154"/>
        <v>0</v>
      </c>
      <c r="P334" s="560">
        <f t="shared" si="154"/>
        <v>6244.64</v>
      </c>
      <c r="Q334" s="560">
        <f t="shared" si="154"/>
        <v>6244.64</v>
      </c>
      <c r="R334" s="560">
        <f t="shared" si="154"/>
        <v>0</v>
      </c>
      <c r="S334" s="560">
        <f t="shared" si="154"/>
        <v>0</v>
      </c>
    </row>
    <row r="335" spans="1:19" ht="13.5" customHeight="1">
      <c r="A335" s="561"/>
      <c r="B335" s="561"/>
      <c r="C335" s="562" t="s">
        <v>307</v>
      </c>
      <c r="D335" s="563">
        <v>1188</v>
      </c>
      <c r="E335" s="563">
        <f>G335+P335</f>
        <v>1187.3</v>
      </c>
      <c r="F335" s="563">
        <f t="shared" si="150"/>
        <v>99.94107744107744</v>
      </c>
      <c r="G335" s="563">
        <f>H335+K335+L335+M335+N335+O335</f>
        <v>1187.3</v>
      </c>
      <c r="H335" s="563">
        <f>SUM(I335:J335)</f>
        <v>0</v>
      </c>
      <c r="I335" s="563">
        <v>0</v>
      </c>
      <c r="J335" s="563">
        <v>0</v>
      </c>
      <c r="K335" s="563">
        <v>0</v>
      </c>
      <c r="L335" s="563">
        <v>1187.3</v>
      </c>
      <c r="M335" s="563">
        <v>0</v>
      </c>
      <c r="N335" s="563">
        <v>0</v>
      </c>
      <c r="O335" s="563">
        <v>0</v>
      </c>
      <c r="P335" s="563">
        <f>Q335+S335</f>
        <v>0</v>
      </c>
      <c r="Q335" s="563">
        <v>0</v>
      </c>
      <c r="R335" s="564">
        <v>0</v>
      </c>
      <c r="S335" s="563">
        <v>0</v>
      </c>
    </row>
    <row r="336" spans="1:19" ht="13.5" customHeight="1">
      <c r="A336" s="561"/>
      <c r="B336" s="561"/>
      <c r="C336" s="562" t="s">
        <v>537</v>
      </c>
      <c r="D336" s="563">
        <v>71265</v>
      </c>
      <c r="E336" s="563">
        <f>G336+P336</f>
        <v>25354.14</v>
      </c>
      <c r="F336" s="563">
        <f>E336/D336*100</f>
        <v>35.577267943590826</v>
      </c>
      <c r="G336" s="563">
        <f>H336+K336+L336+M336+N336+O336</f>
        <v>25354.14</v>
      </c>
      <c r="H336" s="563">
        <f>SUM(I336:J336)</f>
        <v>0</v>
      </c>
      <c r="I336" s="563">
        <v>0</v>
      </c>
      <c r="J336" s="563">
        <v>0</v>
      </c>
      <c r="K336" s="563">
        <v>0</v>
      </c>
      <c r="L336" s="563">
        <v>0</v>
      </c>
      <c r="M336" s="563">
        <v>25354.14</v>
      </c>
      <c r="N336" s="563">
        <v>0</v>
      </c>
      <c r="O336" s="563">
        <v>0</v>
      </c>
      <c r="P336" s="563">
        <f>Q336+S336</f>
        <v>0</v>
      </c>
      <c r="Q336" s="563">
        <v>0</v>
      </c>
      <c r="R336" s="564">
        <v>0</v>
      </c>
      <c r="S336" s="563">
        <v>0</v>
      </c>
    </row>
    <row r="337" spans="1:19" ht="13.5" customHeight="1">
      <c r="A337" s="561"/>
      <c r="B337" s="561"/>
      <c r="C337" s="562" t="s">
        <v>538</v>
      </c>
      <c r="D337" s="563">
        <v>12576</v>
      </c>
      <c r="E337" s="563">
        <f>G337+P337</f>
        <v>4474.26</v>
      </c>
      <c r="F337" s="563">
        <f>E337/D337*100</f>
        <v>35.577767175572525</v>
      </c>
      <c r="G337" s="563">
        <f>H337+K337+L337+M337+N337+O337</f>
        <v>4474.26</v>
      </c>
      <c r="H337" s="563">
        <f>SUM(I337:J337)</f>
        <v>0</v>
      </c>
      <c r="I337" s="563">
        <v>0</v>
      </c>
      <c r="J337" s="563">
        <v>0</v>
      </c>
      <c r="K337" s="563">
        <v>0</v>
      </c>
      <c r="L337" s="563">
        <v>0</v>
      </c>
      <c r="M337" s="563">
        <v>4474.26</v>
      </c>
      <c r="N337" s="563">
        <v>0</v>
      </c>
      <c r="O337" s="563">
        <v>0</v>
      </c>
      <c r="P337" s="563">
        <f>Q337+S337</f>
        <v>0</v>
      </c>
      <c r="Q337" s="563">
        <v>0</v>
      </c>
      <c r="R337" s="564">
        <v>0</v>
      </c>
      <c r="S337" s="563">
        <v>0</v>
      </c>
    </row>
    <row r="338" spans="1:19" ht="13.5" customHeight="1">
      <c r="A338" s="561"/>
      <c r="B338" s="561"/>
      <c r="C338" s="562" t="s">
        <v>295</v>
      </c>
      <c r="D338" s="563">
        <v>1770675</v>
      </c>
      <c r="E338" s="563">
        <f aca="true" t="shared" si="155" ref="E338:E365">G338+P338</f>
        <v>1770667.49</v>
      </c>
      <c r="F338" s="563">
        <f aca="true" t="shared" si="156" ref="F338:F365">E338/D338*100</f>
        <v>99.99957586795996</v>
      </c>
      <c r="G338" s="563">
        <f aca="true" t="shared" si="157" ref="G338:G365">H338+K338+L338+M338+N338+O338</f>
        <v>1770667.49</v>
      </c>
      <c r="H338" s="563">
        <f aca="true" t="shared" si="158" ref="H338:H365">SUM(I338:J338)</f>
        <v>1770667.49</v>
      </c>
      <c r="I338" s="563">
        <v>1770667.49</v>
      </c>
      <c r="J338" s="563">
        <v>0</v>
      </c>
      <c r="K338" s="563">
        <v>0</v>
      </c>
      <c r="L338" s="563">
        <v>0</v>
      </c>
      <c r="M338" s="563">
        <v>0</v>
      </c>
      <c r="N338" s="563">
        <v>0</v>
      </c>
      <c r="O338" s="563">
        <v>0</v>
      </c>
      <c r="P338" s="563">
        <f aca="true" t="shared" si="159" ref="P338:P365">Q338+S338</f>
        <v>0</v>
      </c>
      <c r="Q338" s="563">
        <v>0</v>
      </c>
      <c r="R338" s="564">
        <v>0</v>
      </c>
      <c r="S338" s="563">
        <v>0</v>
      </c>
    </row>
    <row r="339" spans="1:19" ht="13.5" customHeight="1">
      <c r="A339" s="561"/>
      <c r="B339" s="561"/>
      <c r="C339" s="562" t="s">
        <v>354</v>
      </c>
      <c r="D339" s="563">
        <v>45588</v>
      </c>
      <c r="E339" s="563">
        <f t="shared" si="155"/>
        <v>44794.72</v>
      </c>
      <c r="F339" s="563">
        <f t="shared" si="156"/>
        <v>98.25989295428622</v>
      </c>
      <c r="G339" s="563">
        <f t="shared" si="157"/>
        <v>44794.72</v>
      </c>
      <c r="H339" s="563">
        <f t="shared" si="158"/>
        <v>0</v>
      </c>
      <c r="I339" s="563">
        <v>0</v>
      </c>
      <c r="J339" s="563">
        <v>0</v>
      </c>
      <c r="K339" s="563">
        <v>0</v>
      </c>
      <c r="L339" s="563">
        <v>0</v>
      </c>
      <c r="M339" s="563">
        <v>44794.72</v>
      </c>
      <c r="N339" s="563">
        <v>0</v>
      </c>
      <c r="O339" s="563">
        <v>0</v>
      </c>
      <c r="P339" s="563">
        <f t="shared" si="159"/>
        <v>0</v>
      </c>
      <c r="Q339" s="563">
        <v>0</v>
      </c>
      <c r="R339" s="564">
        <v>0</v>
      </c>
      <c r="S339" s="563">
        <v>0</v>
      </c>
    </row>
    <row r="340" spans="1:19" ht="13.5" customHeight="1">
      <c r="A340" s="561"/>
      <c r="B340" s="561"/>
      <c r="C340" s="562" t="s">
        <v>358</v>
      </c>
      <c r="D340" s="563">
        <v>8045</v>
      </c>
      <c r="E340" s="563">
        <f>G340+P340</f>
        <v>7904.97</v>
      </c>
      <c r="F340" s="563">
        <f>E340/D340*100</f>
        <v>98.25941578620261</v>
      </c>
      <c r="G340" s="563">
        <f>H340+K340+L340+M340+N340+O340</f>
        <v>7904.97</v>
      </c>
      <c r="H340" s="563">
        <f>SUM(I340:J340)</f>
        <v>0</v>
      </c>
      <c r="I340" s="563">
        <v>0</v>
      </c>
      <c r="J340" s="563">
        <v>0</v>
      </c>
      <c r="K340" s="563">
        <v>0</v>
      </c>
      <c r="L340" s="563">
        <v>0</v>
      </c>
      <c r="M340" s="563">
        <v>7904.97</v>
      </c>
      <c r="N340" s="563">
        <v>0</v>
      </c>
      <c r="O340" s="563">
        <v>0</v>
      </c>
      <c r="P340" s="563">
        <f>Q340+S340</f>
        <v>0</v>
      </c>
      <c r="Q340" s="563">
        <v>0</v>
      </c>
      <c r="R340" s="564">
        <v>0</v>
      </c>
      <c r="S340" s="563">
        <v>0</v>
      </c>
    </row>
    <row r="341" spans="1:19" ht="13.5" customHeight="1">
      <c r="A341" s="561"/>
      <c r="B341" s="561"/>
      <c r="C341" s="562" t="s">
        <v>296</v>
      </c>
      <c r="D341" s="563">
        <v>131147</v>
      </c>
      <c r="E341" s="563">
        <f t="shared" si="155"/>
        <v>131146.95</v>
      </c>
      <c r="F341" s="563">
        <f t="shared" si="156"/>
        <v>99.99996187484274</v>
      </c>
      <c r="G341" s="563">
        <f t="shared" si="157"/>
        <v>131146.95</v>
      </c>
      <c r="H341" s="563">
        <f t="shared" si="158"/>
        <v>131146.95</v>
      </c>
      <c r="I341" s="563">
        <v>131146.95</v>
      </c>
      <c r="J341" s="563">
        <v>0</v>
      </c>
      <c r="K341" s="563">
        <v>0</v>
      </c>
      <c r="L341" s="563">
        <v>0</v>
      </c>
      <c r="M341" s="563">
        <v>0</v>
      </c>
      <c r="N341" s="563">
        <v>0</v>
      </c>
      <c r="O341" s="563">
        <v>0</v>
      </c>
      <c r="P341" s="563">
        <f t="shared" si="159"/>
        <v>0</v>
      </c>
      <c r="Q341" s="563">
        <v>0</v>
      </c>
      <c r="R341" s="564">
        <v>0</v>
      </c>
      <c r="S341" s="563">
        <v>0</v>
      </c>
    </row>
    <row r="342" spans="1:19" ht="13.5" customHeight="1">
      <c r="A342" s="561"/>
      <c r="B342" s="561"/>
      <c r="C342" s="562" t="s">
        <v>297</v>
      </c>
      <c r="D342" s="563">
        <v>327119</v>
      </c>
      <c r="E342" s="563">
        <f t="shared" si="155"/>
        <v>327118.93</v>
      </c>
      <c r="F342" s="563">
        <f t="shared" si="156"/>
        <v>99.99997860105955</v>
      </c>
      <c r="G342" s="563">
        <f t="shared" si="157"/>
        <v>327118.93</v>
      </c>
      <c r="H342" s="563">
        <f t="shared" si="158"/>
        <v>327118.93</v>
      </c>
      <c r="I342" s="563">
        <v>327118.93</v>
      </c>
      <c r="J342" s="563">
        <v>0</v>
      </c>
      <c r="K342" s="563">
        <v>0</v>
      </c>
      <c r="L342" s="563">
        <v>0</v>
      </c>
      <c r="M342" s="563">
        <v>0</v>
      </c>
      <c r="N342" s="563">
        <v>0</v>
      </c>
      <c r="O342" s="563">
        <v>0</v>
      </c>
      <c r="P342" s="563">
        <f t="shared" si="159"/>
        <v>0</v>
      </c>
      <c r="Q342" s="563">
        <v>0</v>
      </c>
      <c r="R342" s="564">
        <v>0</v>
      </c>
      <c r="S342" s="563">
        <v>0</v>
      </c>
    </row>
    <row r="343" spans="1:19" ht="13.5" customHeight="1">
      <c r="A343" s="561"/>
      <c r="B343" s="561"/>
      <c r="C343" s="562" t="s">
        <v>355</v>
      </c>
      <c r="D343" s="563">
        <v>6819</v>
      </c>
      <c r="E343" s="563">
        <f t="shared" si="155"/>
        <v>6220.6</v>
      </c>
      <c r="F343" s="563">
        <f t="shared" si="156"/>
        <v>91.22451972429975</v>
      </c>
      <c r="G343" s="563">
        <f t="shared" si="157"/>
        <v>6220.6</v>
      </c>
      <c r="H343" s="563">
        <f t="shared" si="158"/>
        <v>0</v>
      </c>
      <c r="I343" s="563">
        <v>0</v>
      </c>
      <c r="J343" s="563">
        <v>0</v>
      </c>
      <c r="K343" s="563">
        <v>0</v>
      </c>
      <c r="L343" s="563">
        <v>0</v>
      </c>
      <c r="M343" s="563">
        <v>6220.6</v>
      </c>
      <c r="N343" s="563">
        <v>0</v>
      </c>
      <c r="O343" s="563">
        <v>0</v>
      </c>
      <c r="P343" s="563">
        <f t="shared" si="159"/>
        <v>0</v>
      </c>
      <c r="Q343" s="563">
        <v>0</v>
      </c>
      <c r="R343" s="564">
        <v>0</v>
      </c>
      <c r="S343" s="563">
        <v>0</v>
      </c>
    </row>
    <row r="344" spans="1:19" ht="13.5" customHeight="1">
      <c r="A344" s="561"/>
      <c r="B344" s="561"/>
      <c r="C344" s="562" t="s">
        <v>359</v>
      </c>
      <c r="D344" s="563">
        <v>1203</v>
      </c>
      <c r="E344" s="563">
        <f>G344+P344</f>
        <v>1097.75</v>
      </c>
      <c r="F344" s="563">
        <f>E344/D344*100</f>
        <v>91.25103906899417</v>
      </c>
      <c r="G344" s="563">
        <f>H344+K344+L344+M344+N344+O344</f>
        <v>1097.75</v>
      </c>
      <c r="H344" s="563">
        <f>SUM(I344:J344)</f>
        <v>0</v>
      </c>
      <c r="I344" s="563">
        <v>0</v>
      </c>
      <c r="J344" s="563">
        <v>0</v>
      </c>
      <c r="K344" s="563">
        <v>0</v>
      </c>
      <c r="L344" s="563">
        <v>0</v>
      </c>
      <c r="M344" s="563">
        <v>1097.75</v>
      </c>
      <c r="N344" s="563">
        <v>0</v>
      </c>
      <c r="O344" s="563">
        <v>0</v>
      </c>
      <c r="P344" s="563">
        <f>Q344+S344</f>
        <v>0</v>
      </c>
      <c r="Q344" s="563">
        <v>0</v>
      </c>
      <c r="R344" s="564">
        <v>0</v>
      </c>
      <c r="S344" s="563">
        <v>0</v>
      </c>
    </row>
    <row r="345" spans="1:19" ht="13.5" customHeight="1">
      <c r="A345" s="561"/>
      <c r="B345" s="561"/>
      <c r="C345" s="562" t="s">
        <v>298</v>
      </c>
      <c r="D345" s="563">
        <v>36956</v>
      </c>
      <c r="E345" s="563">
        <f t="shared" si="155"/>
        <v>36955.26</v>
      </c>
      <c r="F345" s="563">
        <f t="shared" si="156"/>
        <v>99.99799761878991</v>
      </c>
      <c r="G345" s="563">
        <f t="shared" si="157"/>
        <v>36955.26</v>
      </c>
      <c r="H345" s="563">
        <f t="shared" si="158"/>
        <v>36955.26</v>
      </c>
      <c r="I345" s="563">
        <v>36955.26</v>
      </c>
      <c r="J345" s="563">
        <v>0</v>
      </c>
      <c r="K345" s="563">
        <v>0</v>
      </c>
      <c r="L345" s="563">
        <v>0</v>
      </c>
      <c r="M345" s="563">
        <v>0</v>
      </c>
      <c r="N345" s="563">
        <v>0</v>
      </c>
      <c r="O345" s="563">
        <v>0</v>
      </c>
      <c r="P345" s="563">
        <f t="shared" si="159"/>
        <v>0</v>
      </c>
      <c r="Q345" s="563">
        <v>0</v>
      </c>
      <c r="R345" s="564">
        <v>0</v>
      </c>
      <c r="S345" s="563">
        <v>0</v>
      </c>
    </row>
    <row r="346" spans="1:19" ht="13.5" customHeight="1">
      <c r="A346" s="561"/>
      <c r="B346" s="561"/>
      <c r="C346" s="562" t="s">
        <v>356</v>
      </c>
      <c r="D346" s="563">
        <v>778</v>
      </c>
      <c r="E346" s="563">
        <f t="shared" si="155"/>
        <v>729</v>
      </c>
      <c r="F346" s="563">
        <f t="shared" si="156"/>
        <v>93.70179948586119</v>
      </c>
      <c r="G346" s="563">
        <f t="shared" si="157"/>
        <v>729</v>
      </c>
      <c r="H346" s="563">
        <f t="shared" si="158"/>
        <v>0</v>
      </c>
      <c r="I346" s="563">
        <v>0</v>
      </c>
      <c r="J346" s="563">
        <v>0</v>
      </c>
      <c r="K346" s="563">
        <v>0</v>
      </c>
      <c r="L346" s="563">
        <v>0</v>
      </c>
      <c r="M346" s="563">
        <v>729</v>
      </c>
      <c r="N346" s="563">
        <v>0</v>
      </c>
      <c r="O346" s="563">
        <v>0</v>
      </c>
      <c r="P346" s="563">
        <f t="shared" si="159"/>
        <v>0</v>
      </c>
      <c r="Q346" s="563">
        <v>0</v>
      </c>
      <c r="R346" s="564">
        <v>0</v>
      </c>
      <c r="S346" s="563">
        <v>0</v>
      </c>
    </row>
    <row r="347" spans="1:19" ht="13.5" customHeight="1">
      <c r="A347" s="561"/>
      <c r="B347" s="561"/>
      <c r="C347" s="562" t="s">
        <v>360</v>
      </c>
      <c r="D347" s="563">
        <v>138</v>
      </c>
      <c r="E347" s="563">
        <f>G347+P347</f>
        <v>128.65</v>
      </c>
      <c r="F347" s="563">
        <f>E347/D347*100</f>
        <v>93.22463768115942</v>
      </c>
      <c r="G347" s="563">
        <f>H347+K347+L347+M347+N347+O347</f>
        <v>128.65</v>
      </c>
      <c r="H347" s="563">
        <f>SUM(I347:J347)</f>
        <v>0</v>
      </c>
      <c r="I347" s="563">
        <v>0</v>
      </c>
      <c r="J347" s="563">
        <v>0</v>
      </c>
      <c r="K347" s="563">
        <v>0</v>
      </c>
      <c r="L347" s="563">
        <v>0</v>
      </c>
      <c r="M347" s="563">
        <v>128.65</v>
      </c>
      <c r="N347" s="563">
        <v>0</v>
      </c>
      <c r="O347" s="563">
        <v>0</v>
      </c>
      <c r="P347" s="563">
        <f>Q347+S347</f>
        <v>0</v>
      </c>
      <c r="Q347" s="563">
        <v>0</v>
      </c>
      <c r="R347" s="564">
        <v>0</v>
      </c>
      <c r="S347" s="563">
        <v>0</v>
      </c>
    </row>
    <row r="348" spans="1:19" ht="13.5" customHeight="1">
      <c r="A348" s="561"/>
      <c r="B348" s="561"/>
      <c r="C348" s="562" t="s">
        <v>123</v>
      </c>
      <c r="D348" s="563">
        <v>19962</v>
      </c>
      <c r="E348" s="563">
        <f t="shared" si="155"/>
        <v>19952.61</v>
      </c>
      <c r="F348" s="563">
        <f t="shared" si="156"/>
        <v>99.95296062518786</v>
      </c>
      <c r="G348" s="563">
        <f t="shared" si="157"/>
        <v>19952.61</v>
      </c>
      <c r="H348" s="563">
        <f t="shared" si="158"/>
        <v>19952.61</v>
      </c>
      <c r="I348" s="563">
        <v>0</v>
      </c>
      <c r="J348" s="563">
        <v>19952.61</v>
      </c>
      <c r="K348" s="563">
        <v>0</v>
      </c>
      <c r="L348" s="563">
        <v>0</v>
      </c>
      <c r="M348" s="563">
        <v>0</v>
      </c>
      <c r="N348" s="563">
        <v>0</v>
      </c>
      <c r="O348" s="563">
        <v>0</v>
      </c>
      <c r="P348" s="563">
        <f t="shared" si="159"/>
        <v>0</v>
      </c>
      <c r="Q348" s="563">
        <v>0</v>
      </c>
      <c r="R348" s="564">
        <v>0</v>
      </c>
      <c r="S348" s="563">
        <v>0</v>
      </c>
    </row>
    <row r="349" spans="1:19" ht="13.5" customHeight="1">
      <c r="A349" s="561"/>
      <c r="B349" s="561"/>
      <c r="C349" s="562" t="s">
        <v>336</v>
      </c>
      <c r="D349" s="563">
        <v>170</v>
      </c>
      <c r="E349" s="563">
        <f>G349+P349</f>
        <v>169.99</v>
      </c>
      <c r="F349" s="563">
        <f>E349/D349*100</f>
        <v>99.99411764705883</v>
      </c>
      <c r="G349" s="563">
        <f>H349+K349+L349+M349+N349+O349</f>
        <v>169.99</v>
      </c>
      <c r="H349" s="563">
        <f>SUM(I349:J349)</f>
        <v>0</v>
      </c>
      <c r="I349" s="563">
        <v>0</v>
      </c>
      <c r="J349" s="563">
        <v>0</v>
      </c>
      <c r="K349" s="563">
        <v>0</v>
      </c>
      <c r="L349" s="563">
        <v>0</v>
      </c>
      <c r="M349" s="563">
        <v>169.99</v>
      </c>
      <c r="N349" s="563">
        <v>0</v>
      </c>
      <c r="O349" s="563">
        <v>0</v>
      </c>
      <c r="P349" s="563">
        <f>Q349+S349</f>
        <v>0</v>
      </c>
      <c r="Q349" s="563">
        <v>0</v>
      </c>
      <c r="R349" s="564">
        <v>0</v>
      </c>
      <c r="S349" s="563">
        <v>0</v>
      </c>
    </row>
    <row r="350" spans="1:19" ht="13.5" customHeight="1">
      <c r="A350" s="561"/>
      <c r="B350" s="561"/>
      <c r="C350" s="562" t="s">
        <v>337</v>
      </c>
      <c r="D350" s="563">
        <v>30</v>
      </c>
      <c r="E350" s="563">
        <f>G350+P350</f>
        <v>30</v>
      </c>
      <c r="F350" s="563">
        <f>E350/D350*100</f>
        <v>100</v>
      </c>
      <c r="G350" s="563">
        <f>H350+K350+L350+M350+N350+O350</f>
        <v>30</v>
      </c>
      <c r="H350" s="563">
        <f>SUM(I350:J350)</f>
        <v>0</v>
      </c>
      <c r="I350" s="563">
        <v>0</v>
      </c>
      <c r="J350" s="563">
        <v>0</v>
      </c>
      <c r="K350" s="563">
        <v>0</v>
      </c>
      <c r="L350" s="563">
        <v>0</v>
      </c>
      <c r="M350" s="563">
        <v>30</v>
      </c>
      <c r="N350" s="563">
        <v>0</v>
      </c>
      <c r="O350" s="563">
        <v>0</v>
      </c>
      <c r="P350" s="563">
        <f>Q350+S350</f>
        <v>0</v>
      </c>
      <c r="Q350" s="563">
        <v>0</v>
      </c>
      <c r="R350" s="564">
        <v>0</v>
      </c>
      <c r="S350" s="563">
        <v>0</v>
      </c>
    </row>
    <row r="351" spans="1:19" ht="13.5" customHeight="1">
      <c r="A351" s="561"/>
      <c r="B351" s="561"/>
      <c r="C351" s="562" t="s">
        <v>315</v>
      </c>
      <c r="D351" s="563">
        <v>55966</v>
      </c>
      <c r="E351" s="563">
        <f t="shared" si="155"/>
        <v>55965.35</v>
      </c>
      <c r="F351" s="563">
        <f t="shared" si="156"/>
        <v>99.99883858056677</v>
      </c>
      <c r="G351" s="563">
        <f t="shared" si="157"/>
        <v>55965.35</v>
      </c>
      <c r="H351" s="563">
        <f t="shared" si="158"/>
        <v>55965.35</v>
      </c>
      <c r="I351" s="563">
        <v>0</v>
      </c>
      <c r="J351" s="563">
        <v>55965.35</v>
      </c>
      <c r="K351" s="563">
        <v>0</v>
      </c>
      <c r="L351" s="563">
        <v>0</v>
      </c>
      <c r="M351" s="563">
        <v>0</v>
      </c>
      <c r="N351" s="563">
        <v>0</v>
      </c>
      <c r="O351" s="563">
        <v>0</v>
      </c>
      <c r="P351" s="563">
        <f t="shared" si="159"/>
        <v>0</v>
      </c>
      <c r="Q351" s="563">
        <v>0</v>
      </c>
      <c r="R351" s="564">
        <v>0</v>
      </c>
      <c r="S351" s="563">
        <v>0</v>
      </c>
    </row>
    <row r="352" spans="1:19" ht="13.5" customHeight="1">
      <c r="A352" s="561"/>
      <c r="B352" s="561"/>
      <c r="C352" s="562" t="s">
        <v>124</v>
      </c>
      <c r="D352" s="563">
        <v>4548</v>
      </c>
      <c r="E352" s="563">
        <f t="shared" si="155"/>
        <v>4547.96</v>
      </c>
      <c r="F352" s="563">
        <f t="shared" si="156"/>
        <v>99.99912049252418</v>
      </c>
      <c r="G352" s="563">
        <f t="shared" si="157"/>
        <v>4547.96</v>
      </c>
      <c r="H352" s="563">
        <f t="shared" si="158"/>
        <v>4547.96</v>
      </c>
      <c r="I352" s="563">
        <v>0</v>
      </c>
      <c r="J352" s="563">
        <v>4547.96</v>
      </c>
      <c r="K352" s="563">
        <v>0</v>
      </c>
      <c r="L352" s="563">
        <v>0</v>
      </c>
      <c r="M352" s="563">
        <v>0</v>
      </c>
      <c r="N352" s="563">
        <v>0</v>
      </c>
      <c r="O352" s="563">
        <v>0</v>
      </c>
      <c r="P352" s="563">
        <f t="shared" si="159"/>
        <v>0</v>
      </c>
      <c r="Q352" s="563">
        <v>0</v>
      </c>
      <c r="R352" s="564">
        <v>0</v>
      </c>
      <c r="S352" s="563">
        <v>0</v>
      </c>
    </row>
    <row r="353" spans="1:19" ht="13.5" customHeight="1">
      <c r="A353" s="561"/>
      <c r="B353" s="561"/>
      <c r="C353" s="562" t="s">
        <v>306</v>
      </c>
      <c r="D353" s="563">
        <v>1140</v>
      </c>
      <c r="E353" s="563">
        <f t="shared" si="155"/>
        <v>1140</v>
      </c>
      <c r="F353" s="563">
        <f t="shared" si="156"/>
        <v>100</v>
      </c>
      <c r="G353" s="563">
        <f t="shared" si="157"/>
        <v>1140</v>
      </c>
      <c r="H353" s="563">
        <f t="shared" si="158"/>
        <v>1140</v>
      </c>
      <c r="I353" s="563">
        <v>0</v>
      </c>
      <c r="J353" s="563">
        <v>1140</v>
      </c>
      <c r="K353" s="563">
        <v>0</v>
      </c>
      <c r="L353" s="563">
        <v>0</v>
      </c>
      <c r="M353" s="563">
        <v>0</v>
      </c>
      <c r="N353" s="563">
        <v>0</v>
      </c>
      <c r="O353" s="563">
        <v>0</v>
      </c>
      <c r="P353" s="563">
        <f t="shared" si="159"/>
        <v>0</v>
      </c>
      <c r="Q353" s="563">
        <v>0</v>
      </c>
      <c r="R353" s="564">
        <v>0</v>
      </c>
      <c r="S353" s="563">
        <v>0</v>
      </c>
    </row>
    <row r="354" spans="1:19" ht="13.5" customHeight="1">
      <c r="A354" s="561"/>
      <c r="B354" s="561"/>
      <c r="C354" s="562" t="s">
        <v>125</v>
      </c>
      <c r="D354" s="563">
        <v>36794</v>
      </c>
      <c r="E354" s="563">
        <f t="shared" si="155"/>
        <v>36792.9</v>
      </c>
      <c r="F354" s="563">
        <f t="shared" si="156"/>
        <v>99.99701038212753</v>
      </c>
      <c r="G354" s="563">
        <f t="shared" si="157"/>
        <v>36792.9</v>
      </c>
      <c r="H354" s="563">
        <f t="shared" si="158"/>
        <v>36792.9</v>
      </c>
      <c r="I354" s="563">
        <v>0</v>
      </c>
      <c r="J354" s="563">
        <v>36792.9</v>
      </c>
      <c r="K354" s="563">
        <v>0</v>
      </c>
      <c r="L354" s="563">
        <v>0</v>
      </c>
      <c r="M354" s="563">
        <v>0</v>
      </c>
      <c r="N354" s="563">
        <v>0</v>
      </c>
      <c r="O354" s="563">
        <v>0</v>
      </c>
      <c r="P354" s="563">
        <f t="shared" si="159"/>
        <v>0</v>
      </c>
      <c r="Q354" s="563">
        <v>0</v>
      </c>
      <c r="R354" s="564">
        <v>0</v>
      </c>
      <c r="S354" s="563">
        <v>0</v>
      </c>
    </row>
    <row r="355" spans="1:19" ht="13.5" customHeight="1">
      <c r="A355" s="561"/>
      <c r="B355" s="561"/>
      <c r="C355" s="562" t="s">
        <v>338</v>
      </c>
      <c r="D355" s="563">
        <v>425</v>
      </c>
      <c r="E355" s="563">
        <f t="shared" si="155"/>
        <v>32.91</v>
      </c>
      <c r="F355" s="563">
        <f t="shared" si="156"/>
        <v>7.743529411764705</v>
      </c>
      <c r="G355" s="563">
        <f t="shared" si="157"/>
        <v>32.91</v>
      </c>
      <c r="H355" s="563">
        <f t="shared" si="158"/>
        <v>0</v>
      </c>
      <c r="I355" s="563">
        <v>0</v>
      </c>
      <c r="J355" s="563">
        <v>0</v>
      </c>
      <c r="K355" s="563">
        <v>0</v>
      </c>
      <c r="L355" s="563">
        <v>0</v>
      </c>
      <c r="M355" s="563">
        <v>32.91</v>
      </c>
      <c r="N355" s="563">
        <v>0</v>
      </c>
      <c r="O355" s="563">
        <v>0</v>
      </c>
      <c r="P355" s="563">
        <f t="shared" si="159"/>
        <v>0</v>
      </c>
      <c r="Q355" s="563">
        <v>0</v>
      </c>
      <c r="R355" s="564">
        <v>0</v>
      </c>
      <c r="S355" s="563">
        <v>0</v>
      </c>
    </row>
    <row r="356" spans="1:19" ht="13.5" customHeight="1">
      <c r="A356" s="561"/>
      <c r="B356" s="561"/>
      <c r="C356" s="562" t="s">
        <v>294</v>
      </c>
      <c r="D356" s="563">
        <v>75</v>
      </c>
      <c r="E356" s="563">
        <f t="shared" si="155"/>
        <v>5.81</v>
      </c>
      <c r="F356" s="563">
        <f t="shared" si="156"/>
        <v>7.746666666666665</v>
      </c>
      <c r="G356" s="563">
        <f t="shared" si="157"/>
        <v>5.81</v>
      </c>
      <c r="H356" s="563">
        <f t="shared" si="158"/>
        <v>0</v>
      </c>
      <c r="I356" s="563">
        <v>0</v>
      </c>
      <c r="J356" s="563">
        <v>0</v>
      </c>
      <c r="K356" s="563">
        <v>0</v>
      </c>
      <c r="L356" s="563">
        <v>0</v>
      </c>
      <c r="M356" s="563">
        <v>5.81</v>
      </c>
      <c r="N356" s="563">
        <v>0</v>
      </c>
      <c r="O356" s="563">
        <v>0</v>
      </c>
      <c r="P356" s="563">
        <f t="shared" si="159"/>
        <v>0</v>
      </c>
      <c r="Q356" s="563">
        <v>0</v>
      </c>
      <c r="R356" s="564">
        <v>0</v>
      </c>
      <c r="S356" s="563">
        <v>0</v>
      </c>
    </row>
    <row r="357" spans="1:19" ht="13.5" customHeight="1">
      <c r="A357" s="561"/>
      <c r="B357" s="561"/>
      <c r="C357" s="562" t="s">
        <v>300</v>
      </c>
      <c r="D357" s="563">
        <v>4722</v>
      </c>
      <c r="E357" s="563">
        <f t="shared" si="155"/>
        <v>4721.98</v>
      </c>
      <c r="F357" s="563">
        <f t="shared" si="156"/>
        <v>99.99957645065649</v>
      </c>
      <c r="G357" s="563">
        <f t="shared" si="157"/>
        <v>4721.98</v>
      </c>
      <c r="H357" s="563">
        <f t="shared" si="158"/>
        <v>4721.98</v>
      </c>
      <c r="I357" s="563">
        <v>0</v>
      </c>
      <c r="J357" s="563">
        <v>4721.98</v>
      </c>
      <c r="K357" s="563">
        <v>0</v>
      </c>
      <c r="L357" s="563">
        <v>0</v>
      </c>
      <c r="M357" s="563">
        <v>0</v>
      </c>
      <c r="N357" s="563">
        <v>0</v>
      </c>
      <c r="O357" s="563">
        <v>0</v>
      </c>
      <c r="P357" s="563">
        <f t="shared" si="159"/>
        <v>0</v>
      </c>
      <c r="Q357" s="563">
        <v>0</v>
      </c>
      <c r="R357" s="564">
        <v>0</v>
      </c>
      <c r="S357" s="563">
        <v>0</v>
      </c>
    </row>
    <row r="358" spans="1:19" ht="13.5" customHeight="1">
      <c r="A358" s="561"/>
      <c r="B358" s="561"/>
      <c r="C358" s="562" t="s">
        <v>302</v>
      </c>
      <c r="D358" s="563">
        <v>353</v>
      </c>
      <c r="E358" s="563">
        <f t="shared" si="155"/>
        <v>352.53</v>
      </c>
      <c r="F358" s="563">
        <f t="shared" si="156"/>
        <v>99.86685552407931</v>
      </c>
      <c r="G358" s="563">
        <f t="shared" si="157"/>
        <v>352.53</v>
      </c>
      <c r="H358" s="563">
        <f t="shared" si="158"/>
        <v>352.53</v>
      </c>
      <c r="I358" s="563">
        <v>0</v>
      </c>
      <c r="J358" s="563">
        <v>352.53</v>
      </c>
      <c r="K358" s="563">
        <v>0</v>
      </c>
      <c r="L358" s="563">
        <v>0</v>
      </c>
      <c r="M358" s="563">
        <v>0</v>
      </c>
      <c r="N358" s="563">
        <v>0</v>
      </c>
      <c r="O358" s="563">
        <v>0</v>
      </c>
      <c r="P358" s="563">
        <f t="shared" si="159"/>
        <v>0</v>
      </c>
      <c r="Q358" s="563">
        <v>0</v>
      </c>
      <c r="R358" s="564">
        <v>0</v>
      </c>
      <c r="S358" s="563">
        <v>0</v>
      </c>
    </row>
    <row r="359" spans="1:19" ht="13.5" customHeight="1">
      <c r="A359" s="561"/>
      <c r="B359" s="561"/>
      <c r="C359" s="562" t="s">
        <v>357</v>
      </c>
      <c r="D359" s="563">
        <v>1114</v>
      </c>
      <c r="E359" s="563">
        <f t="shared" si="155"/>
        <v>125.67</v>
      </c>
      <c r="F359" s="563">
        <f t="shared" si="156"/>
        <v>11.280969479353681</v>
      </c>
      <c r="G359" s="563">
        <f t="shared" si="157"/>
        <v>125.67</v>
      </c>
      <c r="H359" s="563">
        <f t="shared" si="158"/>
        <v>0</v>
      </c>
      <c r="I359" s="563">
        <v>0</v>
      </c>
      <c r="J359" s="563">
        <v>0</v>
      </c>
      <c r="K359" s="563">
        <v>0</v>
      </c>
      <c r="L359" s="563">
        <v>0</v>
      </c>
      <c r="M359" s="563">
        <v>125.67</v>
      </c>
      <c r="N359" s="563">
        <v>0</v>
      </c>
      <c r="O359" s="563">
        <v>0</v>
      </c>
      <c r="P359" s="563">
        <f t="shared" si="159"/>
        <v>0</v>
      </c>
      <c r="Q359" s="563">
        <v>0</v>
      </c>
      <c r="R359" s="564">
        <v>0</v>
      </c>
      <c r="S359" s="563">
        <v>0</v>
      </c>
    </row>
    <row r="360" spans="1:19" ht="13.5" customHeight="1">
      <c r="A360" s="561"/>
      <c r="B360" s="561"/>
      <c r="C360" s="562" t="s">
        <v>375</v>
      </c>
      <c r="D360" s="563">
        <v>197</v>
      </c>
      <c r="E360" s="563">
        <f>G360+P360</f>
        <v>22.16</v>
      </c>
      <c r="F360" s="563">
        <f>E360/D360*100</f>
        <v>11.248730964467004</v>
      </c>
      <c r="G360" s="563">
        <f>H360+K360+L360+M360+N360+O360</f>
        <v>22.16</v>
      </c>
      <c r="H360" s="563">
        <f>SUM(I360:J360)</f>
        <v>0</v>
      </c>
      <c r="I360" s="563">
        <v>0</v>
      </c>
      <c r="J360" s="563">
        <v>0</v>
      </c>
      <c r="K360" s="563">
        <v>0</v>
      </c>
      <c r="L360" s="563">
        <v>0</v>
      </c>
      <c r="M360" s="563">
        <v>22.16</v>
      </c>
      <c r="N360" s="563">
        <v>0</v>
      </c>
      <c r="O360" s="563">
        <v>0</v>
      </c>
      <c r="P360" s="563">
        <f>Q360+S360</f>
        <v>0</v>
      </c>
      <c r="Q360" s="563">
        <v>0</v>
      </c>
      <c r="R360" s="564">
        <v>0</v>
      </c>
      <c r="S360" s="563">
        <v>0</v>
      </c>
    </row>
    <row r="361" spans="1:19" ht="13.5" customHeight="1">
      <c r="A361" s="561"/>
      <c r="B361" s="561"/>
      <c r="C361" s="562" t="s">
        <v>303</v>
      </c>
      <c r="D361" s="563">
        <v>4557</v>
      </c>
      <c r="E361" s="563">
        <f t="shared" si="155"/>
        <v>4557</v>
      </c>
      <c r="F361" s="563">
        <f t="shared" si="156"/>
        <v>100</v>
      </c>
      <c r="G361" s="563">
        <f t="shared" si="157"/>
        <v>4557</v>
      </c>
      <c r="H361" s="563">
        <f t="shared" si="158"/>
        <v>4557</v>
      </c>
      <c r="I361" s="563">
        <v>0</v>
      </c>
      <c r="J361" s="563">
        <v>4557</v>
      </c>
      <c r="K361" s="563">
        <v>0</v>
      </c>
      <c r="L361" s="563">
        <v>0</v>
      </c>
      <c r="M361" s="563">
        <v>0</v>
      </c>
      <c r="N361" s="563">
        <v>0</v>
      </c>
      <c r="O361" s="563">
        <v>0</v>
      </c>
      <c r="P361" s="563">
        <f t="shared" si="159"/>
        <v>0</v>
      </c>
      <c r="Q361" s="563">
        <v>0</v>
      </c>
      <c r="R361" s="564">
        <v>0</v>
      </c>
      <c r="S361" s="563">
        <v>0</v>
      </c>
    </row>
    <row r="362" spans="1:19" ht="13.5" customHeight="1">
      <c r="A362" s="561"/>
      <c r="B362" s="561"/>
      <c r="C362" s="562" t="s">
        <v>304</v>
      </c>
      <c r="D362" s="563">
        <v>59893</v>
      </c>
      <c r="E362" s="563">
        <f t="shared" si="155"/>
        <v>59893</v>
      </c>
      <c r="F362" s="563">
        <f t="shared" si="156"/>
        <v>100</v>
      </c>
      <c r="G362" s="563">
        <f t="shared" si="157"/>
        <v>59893</v>
      </c>
      <c r="H362" s="563">
        <f t="shared" si="158"/>
        <v>59893</v>
      </c>
      <c r="I362" s="563">
        <v>0</v>
      </c>
      <c r="J362" s="563">
        <v>59893</v>
      </c>
      <c r="K362" s="563">
        <v>0</v>
      </c>
      <c r="L362" s="563">
        <v>0</v>
      </c>
      <c r="M362" s="563">
        <v>0</v>
      </c>
      <c r="N362" s="563">
        <v>0</v>
      </c>
      <c r="O362" s="563">
        <v>0</v>
      </c>
      <c r="P362" s="563">
        <f t="shared" si="159"/>
        <v>0</v>
      </c>
      <c r="Q362" s="563">
        <v>0</v>
      </c>
      <c r="R362" s="564">
        <v>0</v>
      </c>
      <c r="S362" s="563">
        <v>0</v>
      </c>
    </row>
    <row r="363" spans="1:19" ht="13.5" customHeight="1">
      <c r="A363" s="561"/>
      <c r="B363" s="561"/>
      <c r="C363" s="562" t="s">
        <v>317</v>
      </c>
      <c r="D363" s="563">
        <v>7357</v>
      </c>
      <c r="E363" s="563">
        <f t="shared" si="155"/>
        <v>7357</v>
      </c>
      <c r="F363" s="563">
        <f t="shared" si="156"/>
        <v>100</v>
      </c>
      <c r="G363" s="563">
        <f t="shared" si="157"/>
        <v>7357</v>
      </c>
      <c r="H363" s="563">
        <f t="shared" si="158"/>
        <v>7357</v>
      </c>
      <c r="I363" s="563">
        <v>0</v>
      </c>
      <c r="J363" s="563">
        <v>7357</v>
      </c>
      <c r="K363" s="563">
        <v>0</v>
      </c>
      <c r="L363" s="563">
        <v>0</v>
      </c>
      <c r="M363" s="563">
        <v>0</v>
      </c>
      <c r="N363" s="563">
        <v>0</v>
      </c>
      <c r="O363" s="563">
        <v>0</v>
      </c>
      <c r="P363" s="563">
        <f t="shared" si="159"/>
        <v>0</v>
      </c>
      <c r="Q363" s="563">
        <v>0</v>
      </c>
      <c r="R363" s="564">
        <v>0</v>
      </c>
      <c r="S363" s="563">
        <v>0</v>
      </c>
    </row>
    <row r="364" spans="1:19" ht="13.5" customHeight="1">
      <c r="A364" s="561"/>
      <c r="B364" s="561"/>
      <c r="C364" s="562" t="s">
        <v>319</v>
      </c>
      <c r="D364" s="563">
        <v>2967</v>
      </c>
      <c r="E364" s="563">
        <f t="shared" si="155"/>
        <v>2966.66</v>
      </c>
      <c r="F364" s="563">
        <f t="shared" si="156"/>
        <v>99.98854061341422</v>
      </c>
      <c r="G364" s="563">
        <f t="shared" si="157"/>
        <v>2966.66</v>
      </c>
      <c r="H364" s="563">
        <f t="shared" si="158"/>
        <v>2966.66</v>
      </c>
      <c r="I364" s="563">
        <v>0</v>
      </c>
      <c r="J364" s="563">
        <v>2966.66</v>
      </c>
      <c r="K364" s="563">
        <v>0</v>
      </c>
      <c r="L364" s="563">
        <v>0</v>
      </c>
      <c r="M364" s="563">
        <v>0</v>
      </c>
      <c r="N364" s="563">
        <v>0</v>
      </c>
      <c r="O364" s="563">
        <v>0</v>
      </c>
      <c r="P364" s="563">
        <f t="shared" si="159"/>
        <v>0</v>
      </c>
      <c r="Q364" s="563">
        <v>0</v>
      </c>
      <c r="R364" s="564">
        <v>0</v>
      </c>
      <c r="S364" s="563">
        <v>0</v>
      </c>
    </row>
    <row r="365" spans="1:19" ht="13.5" customHeight="1">
      <c r="A365" s="561"/>
      <c r="B365" s="561"/>
      <c r="C365" s="562" t="s">
        <v>145</v>
      </c>
      <c r="D365" s="563">
        <v>500</v>
      </c>
      <c r="E365" s="563">
        <f t="shared" si="155"/>
        <v>500</v>
      </c>
      <c r="F365" s="563">
        <f t="shared" si="156"/>
        <v>100</v>
      </c>
      <c r="G365" s="563">
        <f t="shared" si="157"/>
        <v>500</v>
      </c>
      <c r="H365" s="563">
        <f t="shared" si="158"/>
        <v>500</v>
      </c>
      <c r="I365" s="563">
        <v>0</v>
      </c>
      <c r="J365" s="563">
        <v>500</v>
      </c>
      <c r="K365" s="563">
        <v>0</v>
      </c>
      <c r="L365" s="563">
        <v>0</v>
      </c>
      <c r="M365" s="563">
        <v>0</v>
      </c>
      <c r="N365" s="563">
        <v>0</v>
      </c>
      <c r="O365" s="563">
        <v>0</v>
      </c>
      <c r="P365" s="563">
        <f t="shared" si="159"/>
        <v>0</v>
      </c>
      <c r="Q365" s="563">
        <v>0</v>
      </c>
      <c r="R365" s="564">
        <v>0</v>
      </c>
      <c r="S365" s="563">
        <v>0</v>
      </c>
    </row>
    <row r="366" spans="1:19" ht="13.5" customHeight="1">
      <c r="A366" s="561"/>
      <c r="B366" s="561"/>
      <c r="C366" s="562" t="s">
        <v>320</v>
      </c>
      <c r="D366" s="563">
        <v>6245</v>
      </c>
      <c r="E366" s="563">
        <f>G366+P366</f>
        <v>6244.64</v>
      </c>
      <c r="F366" s="563">
        <f>E366/D366*100</f>
        <v>99.99423538831064</v>
      </c>
      <c r="G366" s="563">
        <f>H366+K366+L366+M366+N366+O366</f>
        <v>0</v>
      </c>
      <c r="H366" s="563">
        <f>SUM(I366:J366)</f>
        <v>0</v>
      </c>
      <c r="I366" s="563">
        <v>0</v>
      </c>
      <c r="J366" s="563">
        <v>0</v>
      </c>
      <c r="K366" s="563">
        <v>0</v>
      </c>
      <c r="L366" s="563">
        <v>0</v>
      </c>
      <c r="M366" s="563">
        <v>0</v>
      </c>
      <c r="N366" s="563">
        <v>0</v>
      </c>
      <c r="O366" s="563">
        <v>0</v>
      </c>
      <c r="P366" s="563">
        <f>Q366+S366</f>
        <v>6244.64</v>
      </c>
      <c r="Q366" s="563">
        <v>6244.64</v>
      </c>
      <c r="R366" s="564">
        <v>0</v>
      </c>
      <c r="S366" s="563">
        <v>0</v>
      </c>
    </row>
    <row r="367" spans="1:19" ht="13.5" customHeight="1">
      <c r="A367" s="561"/>
      <c r="B367" s="554" t="s">
        <v>177</v>
      </c>
      <c r="C367" s="554"/>
      <c r="D367" s="560">
        <f>SUM(D368:D386)</f>
        <v>609775</v>
      </c>
      <c r="E367" s="560">
        <f>SUM(E368:E386)</f>
        <v>395819.8</v>
      </c>
      <c r="F367" s="560">
        <f>E367/D367*100</f>
        <v>64.91243491451765</v>
      </c>
      <c r="G367" s="560">
        <f aca="true" t="shared" si="160" ref="G367:S367">SUM(G368:G386)</f>
        <v>395819.8</v>
      </c>
      <c r="H367" s="560">
        <f t="shared" si="160"/>
        <v>17359.14</v>
      </c>
      <c r="I367" s="560">
        <f t="shared" si="160"/>
        <v>17359.14</v>
      </c>
      <c r="J367" s="560">
        <f t="shared" si="160"/>
        <v>0</v>
      </c>
      <c r="K367" s="560">
        <f t="shared" si="160"/>
        <v>0</v>
      </c>
      <c r="L367" s="560">
        <f t="shared" si="160"/>
        <v>0</v>
      </c>
      <c r="M367" s="560">
        <f t="shared" si="160"/>
        <v>378460.66</v>
      </c>
      <c r="N367" s="560">
        <f t="shared" si="160"/>
        <v>0</v>
      </c>
      <c r="O367" s="560">
        <f t="shared" si="160"/>
        <v>0</v>
      </c>
      <c r="P367" s="560">
        <f t="shared" si="160"/>
        <v>0</v>
      </c>
      <c r="Q367" s="560">
        <f t="shared" si="160"/>
        <v>0</v>
      </c>
      <c r="R367" s="560">
        <f t="shared" si="160"/>
        <v>0</v>
      </c>
      <c r="S367" s="560">
        <f t="shared" si="160"/>
        <v>0</v>
      </c>
    </row>
    <row r="368" spans="1:19" ht="13.5" customHeight="1">
      <c r="A368" s="561"/>
      <c r="B368" s="561"/>
      <c r="C368" s="562" t="s">
        <v>537</v>
      </c>
      <c r="D368" s="563">
        <v>17025</v>
      </c>
      <c r="E368" s="563">
        <f>G368+P368</f>
        <v>16284</v>
      </c>
      <c r="F368" s="563">
        <f>E368/D368*100</f>
        <v>95.64757709251101</v>
      </c>
      <c r="G368" s="563">
        <f>H368+K368+L368+M368+N368+O368</f>
        <v>16284</v>
      </c>
      <c r="H368" s="563">
        <f>SUM(I368:J368)</f>
        <v>0</v>
      </c>
      <c r="I368" s="563">
        <v>0</v>
      </c>
      <c r="J368" s="563">
        <v>0</v>
      </c>
      <c r="K368" s="563">
        <v>0</v>
      </c>
      <c r="L368" s="563">
        <v>0</v>
      </c>
      <c r="M368" s="563">
        <v>16284</v>
      </c>
      <c r="N368" s="563">
        <v>0</v>
      </c>
      <c r="O368" s="563">
        <v>0</v>
      </c>
      <c r="P368" s="563">
        <f>Q368+S368</f>
        <v>0</v>
      </c>
      <c r="Q368" s="563">
        <v>0</v>
      </c>
      <c r="R368" s="564">
        <v>0</v>
      </c>
      <c r="S368" s="563">
        <v>0</v>
      </c>
    </row>
    <row r="369" spans="1:19" ht="13.5" customHeight="1">
      <c r="A369" s="561"/>
      <c r="B369" s="561"/>
      <c r="C369" s="562" t="s">
        <v>354</v>
      </c>
      <c r="D369" s="563">
        <v>57423</v>
      </c>
      <c r="E369" s="563">
        <f aca="true" t="shared" si="161" ref="E369:E386">G369+P369</f>
        <v>55692.78</v>
      </c>
      <c r="F369" s="563">
        <f aca="true" t="shared" si="162" ref="F369:F386">E369/D369*100</f>
        <v>96.98688678752416</v>
      </c>
      <c r="G369" s="563">
        <f aca="true" t="shared" si="163" ref="G369:G386">H369+K369+L369+M369+N369+O369</f>
        <v>55692.78</v>
      </c>
      <c r="H369" s="563">
        <f aca="true" t="shared" si="164" ref="H369:H386">SUM(I369:J369)</f>
        <v>0</v>
      </c>
      <c r="I369" s="563">
        <v>0</v>
      </c>
      <c r="J369" s="563">
        <v>0</v>
      </c>
      <c r="K369" s="563">
        <v>0</v>
      </c>
      <c r="L369" s="563">
        <v>0</v>
      </c>
      <c r="M369" s="563">
        <v>55692.78</v>
      </c>
      <c r="N369" s="563">
        <v>0</v>
      </c>
      <c r="O369" s="563">
        <v>0</v>
      </c>
      <c r="P369" s="563">
        <f aca="true" t="shared" si="165" ref="P369:P386">Q369+S369</f>
        <v>0</v>
      </c>
      <c r="Q369" s="563">
        <v>0</v>
      </c>
      <c r="R369" s="564">
        <v>0</v>
      </c>
      <c r="S369" s="563">
        <v>0</v>
      </c>
    </row>
    <row r="370" spans="1:19" ht="13.5" customHeight="1">
      <c r="A370" s="561"/>
      <c r="B370" s="561"/>
      <c r="C370" s="562" t="s">
        <v>358</v>
      </c>
      <c r="D370" s="563">
        <v>6649</v>
      </c>
      <c r="E370" s="563">
        <f t="shared" si="161"/>
        <v>6604.82</v>
      </c>
      <c r="F370" s="563">
        <f t="shared" si="162"/>
        <v>99.33553917882388</v>
      </c>
      <c r="G370" s="563">
        <f t="shared" si="163"/>
        <v>6604.82</v>
      </c>
      <c r="H370" s="563">
        <f t="shared" si="164"/>
        <v>0</v>
      </c>
      <c r="I370" s="563">
        <v>0</v>
      </c>
      <c r="J370" s="563">
        <v>0</v>
      </c>
      <c r="K370" s="563">
        <v>0</v>
      </c>
      <c r="L370" s="563">
        <v>0</v>
      </c>
      <c r="M370" s="563">
        <v>6604.82</v>
      </c>
      <c r="N370" s="563">
        <v>0</v>
      </c>
      <c r="O370" s="563">
        <v>0</v>
      </c>
      <c r="P370" s="563">
        <f t="shared" si="165"/>
        <v>0</v>
      </c>
      <c r="Q370" s="563">
        <v>0</v>
      </c>
      <c r="R370" s="564">
        <v>0</v>
      </c>
      <c r="S370" s="563">
        <v>0</v>
      </c>
    </row>
    <row r="371" spans="1:19" ht="13.5" customHeight="1">
      <c r="A371" s="561"/>
      <c r="B371" s="561"/>
      <c r="C371" s="562" t="s">
        <v>296</v>
      </c>
      <c r="D371" s="563">
        <v>15241</v>
      </c>
      <c r="E371" s="563">
        <f>G371+P371</f>
        <v>14536.92</v>
      </c>
      <c r="F371" s="563">
        <f>E371/D371*100</f>
        <v>95.38035561970999</v>
      </c>
      <c r="G371" s="563">
        <f>H371+K371+L371+M371+N371+O371</f>
        <v>14536.92</v>
      </c>
      <c r="H371" s="563">
        <f>SUM(I371:J371)</f>
        <v>14536.92</v>
      </c>
      <c r="I371" s="563">
        <v>14536.92</v>
      </c>
      <c r="J371" s="563">
        <v>0</v>
      </c>
      <c r="K371" s="563">
        <v>0</v>
      </c>
      <c r="L371" s="563">
        <v>0</v>
      </c>
      <c r="M371" s="563">
        <v>0</v>
      </c>
      <c r="N371" s="563">
        <v>0</v>
      </c>
      <c r="O371" s="563">
        <v>0</v>
      </c>
      <c r="P371" s="563">
        <f>Q371+S371</f>
        <v>0</v>
      </c>
      <c r="Q371" s="563">
        <v>0</v>
      </c>
      <c r="R371" s="564">
        <v>0</v>
      </c>
      <c r="S371" s="563">
        <v>0</v>
      </c>
    </row>
    <row r="372" spans="1:19" ht="13.5" customHeight="1">
      <c r="A372" s="561"/>
      <c r="B372" s="561"/>
      <c r="C372" s="562" t="s">
        <v>297</v>
      </c>
      <c r="D372" s="563">
        <v>2624</v>
      </c>
      <c r="E372" s="563">
        <f t="shared" si="161"/>
        <v>2503.3</v>
      </c>
      <c r="F372" s="563">
        <f t="shared" si="162"/>
        <v>95.4001524390244</v>
      </c>
      <c r="G372" s="563">
        <f t="shared" si="163"/>
        <v>2503.3</v>
      </c>
      <c r="H372" s="563">
        <f t="shared" si="164"/>
        <v>2503.3</v>
      </c>
      <c r="I372" s="563">
        <v>2503.3</v>
      </c>
      <c r="J372" s="563">
        <v>0</v>
      </c>
      <c r="K372" s="563">
        <v>0</v>
      </c>
      <c r="L372" s="563">
        <v>0</v>
      </c>
      <c r="M372" s="563">
        <v>0</v>
      </c>
      <c r="N372" s="563">
        <v>0</v>
      </c>
      <c r="O372" s="563">
        <v>0</v>
      </c>
      <c r="P372" s="563">
        <f t="shared" si="165"/>
        <v>0</v>
      </c>
      <c r="Q372" s="563">
        <v>0</v>
      </c>
      <c r="R372" s="564">
        <v>0</v>
      </c>
      <c r="S372" s="563">
        <v>0</v>
      </c>
    </row>
    <row r="373" spans="1:19" ht="13.5" customHeight="1">
      <c r="A373" s="561"/>
      <c r="B373" s="561"/>
      <c r="C373" s="562" t="s">
        <v>355</v>
      </c>
      <c r="D373" s="563">
        <v>22460</v>
      </c>
      <c r="E373" s="563">
        <f t="shared" si="161"/>
        <v>19815.43</v>
      </c>
      <c r="F373" s="563">
        <f t="shared" si="162"/>
        <v>88.22542297417631</v>
      </c>
      <c r="G373" s="563">
        <f t="shared" si="163"/>
        <v>19815.43</v>
      </c>
      <c r="H373" s="563">
        <f t="shared" si="164"/>
        <v>0</v>
      </c>
      <c r="I373" s="563">
        <v>0</v>
      </c>
      <c r="J373" s="563">
        <v>0</v>
      </c>
      <c r="K373" s="563">
        <v>0</v>
      </c>
      <c r="L373" s="563">
        <v>0</v>
      </c>
      <c r="M373" s="563">
        <v>19815.43</v>
      </c>
      <c r="N373" s="563">
        <v>0</v>
      </c>
      <c r="O373" s="563">
        <v>0</v>
      </c>
      <c r="P373" s="563">
        <f t="shared" si="165"/>
        <v>0</v>
      </c>
      <c r="Q373" s="563">
        <v>0</v>
      </c>
      <c r="R373" s="564">
        <v>0</v>
      </c>
      <c r="S373" s="563">
        <v>0</v>
      </c>
    </row>
    <row r="374" spans="1:19" ht="13.5" customHeight="1">
      <c r="A374" s="561"/>
      <c r="B374" s="561"/>
      <c r="C374" s="562" t="s">
        <v>359</v>
      </c>
      <c r="D374" s="563">
        <v>2326</v>
      </c>
      <c r="E374" s="563">
        <f>G374+P374</f>
        <v>2123.4</v>
      </c>
      <c r="F374" s="563">
        <f>E374/D374*100</f>
        <v>91.28976784178849</v>
      </c>
      <c r="G374" s="563">
        <f>H374+K374+L374+M374+N374+O374</f>
        <v>2123.4</v>
      </c>
      <c r="H374" s="563">
        <f>SUM(I374:J374)</f>
        <v>0</v>
      </c>
      <c r="I374" s="563">
        <v>0</v>
      </c>
      <c r="J374" s="563">
        <v>0</v>
      </c>
      <c r="K374" s="563">
        <v>0</v>
      </c>
      <c r="L374" s="563">
        <v>0</v>
      </c>
      <c r="M374" s="563">
        <v>2123.4</v>
      </c>
      <c r="N374" s="563">
        <v>0</v>
      </c>
      <c r="O374" s="563">
        <v>0</v>
      </c>
      <c r="P374" s="563">
        <f>Q374+S374</f>
        <v>0</v>
      </c>
      <c r="Q374" s="563">
        <v>0</v>
      </c>
      <c r="R374" s="564">
        <v>0</v>
      </c>
      <c r="S374" s="563">
        <v>0</v>
      </c>
    </row>
    <row r="375" spans="1:19" ht="13.5" customHeight="1">
      <c r="A375" s="561"/>
      <c r="B375" s="561"/>
      <c r="C375" s="562" t="s">
        <v>298</v>
      </c>
      <c r="D375" s="563">
        <v>374</v>
      </c>
      <c r="E375" s="563">
        <f t="shared" si="161"/>
        <v>318.92</v>
      </c>
      <c r="F375" s="563">
        <f t="shared" si="162"/>
        <v>85.27272727272728</v>
      </c>
      <c r="G375" s="563">
        <f t="shared" si="163"/>
        <v>318.92</v>
      </c>
      <c r="H375" s="563">
        <f t="shared" si="164"/>
        <v>318.92</v>
      </c>
      <c r="I375" s="563">
        <v>318.92</v>
      </c>
      <c r="J375" s="563">
        <v>0</v>
      </c>
      <c r="K375" s="563">
        <v>0</v>
      </c>
      <c r="L375" s="563">
        <v>0</v>
      </c>
      <c r="M375" s="563">
        <v>0</v>
      </c>
      <c r="N375" s="563">
        <v>0</v>
      </c>
      <c r="O375" s="563">
        <v>0</v>
      </c>
      <c r="P375" s="563">
        <f t="shared" si="165"/>
        <v>0</v>
      </c>
      <c r="Q375" s="563">
        <v>0</v>
      </c>
      <c r="R375" s="564">
        <v>0</v>
      </c>
      <c r="S375" s="563">
        <v>0</v>
      </c>
    </row>
    <row r="376" spans="1:19" ht="13.5" customHeight="1">
      <c r="A376" s="561"/>
      <c r="B376" s="561"/>
      <c r="C376" s="562" t="s">
        <v>356</v>
      </c>
      <c r="D376" s="563">
        <v>2076</v>
      </c>
      <c r="E376" s="563">
        <f t="shared" si="161"/>
        <v>1880.21</v>
      </c>
      <c r="F376" s="563">
        <f t="shared" si="162"/>
        <v>90.56888246628131</v>
      </c>
      <c r="G376" s="563">
        <f t="shared" si="163"/>
        <v>1880.21</v>
      </c>
      <c r="H376" s="563">
        <f t="shared" si="164"/>
        <v>0</v>
      </c>
      <c r="I376" s="563">
        <v>0</v>
      </c>
      <c r="J376" s="563">
        <v>0</v>
      </c>
      <c r="K376" s="563">
        <v>0</v>
      </c>
      <c r="L376" s="563">
        <v>0</v>
      </c>
      <c r="M376" s="563">
        <v>1880.21</v>
      </c>
      <c r="N376" s="563">
        <v>0</v>
      </c>
      <c r="O376" s="563">
        <v>0</v>
      </c>
      <c r="P376" s="563">
        <f t="shared" si="165"/>
        <v>0</v>
      </c>
      <c r="Q376" s="563">
        <v>0</v>
      </c>
      <c r="R376" s="564">
        <v>0</v>
      </c>
      <c r="S376" s="563">
        <v>0</v>
      </c>
    </row>
    <row r="377" spans="1:19" ht="13.5" customHeight="1">
      <c r="A377" s="561"/>
      <c r="B377" s="561"/>
      <c r="C377" s="562" t="s">
        <v>360</v>
      </c>
      <c r="D377" s="563">
        <v>303</v>
      </c>
      <c r="E377" s="563">
        <f>G377+P377</f>
        <v>274.58</v>
      </c>
      <c r="F377" s="563">
        <f>E377/D377*100</f>
        <v>90.62046204620462</v>
      </c>
      <c r="G377" s="563">
        <f>H377+K377+L377+M377+N377+O377</f>
        <v>274.58</v>
      </c>
      <c r="H377" s="563">
        <f>SUM(I377:J377)</f>
        <v>0</v>
      </c>
      <c r="I377" s="563">
        <v>0</v>
      </c>
      <c r="J377" s="563">
        <v>0</v>
      </c>
      <c r="K377" s="563">
        <v>0</v>
      </c>
      <c r="L377" s="563">
        <v>0</v>
      </c>
      <c r="M377" s="563">
        <v>274.58</v>
      </c>
      <c r="N377" s="563">
        <v>0</v>
      </c>
      <c r="O377" s="563">
        <v>0</v>
      </c>
      <c r="P377" s="563">
        <f>Q377+S377</f>
        <v>0</v>
      </c>
      <c r="Q377" s="563">
        <v>0</v>
      </c>
      <c r="R377" s="564">
        <v>0</v>
      </c>
      <c r="S377" s="563">
        <v>0</v>
      </c>
    </row>
    <row r="378" spans="1:19" ht="13.5" customHeight="1">
      <c r="A378" s="561"/>
      <c r="B378" s="561"/>
      <c r="C378" s="562" t="s">
        <v>334</v>
      </c>
      <c r="D378" s="563">
        <v>155494</v>
      </c>
      <c r="E378" s="563">
        <f t="shared" si="161"/>
        <v>138708.5</v>
      </c>
      <c r="F378" s="563">
        <f t="shared" si="162"/>
        <v>89.2050497125291</v>
      </c>
      <c r="G378" s="563">
        <f t="shared" si="163"/>
        <v>138708.5</v>
      </c>
      <c r="H378" s="563">
        <f t="shared" si="164"/>
        <v>0</v>
      </c>
      <c r="I378" s="563">
        <v>0</v>
      </c>
      <c r="J378" s="563">
        <v>0</v>
      </c>
      <c r="K378" s="563">
        <v>0</v>
      </c>
      <c r="L378" s="563">
        <v>0</v>
      </c>
      <c r="M378" s="563">
        <v>138708.5</v>
      </c>
      <c r="N378" s="563">
        <v>0</v>
      </c>
      <c r="O378" s="563">
        <v>0</v>
      </c>
      <c r="P378" s="563">
        <f t="shared" si="165"/>
        <v>0</v>
      </c>
      <c r="Q378" s="563">
        <v>0</v>
      </c>
      <c r="R378" s="564">
        <v>0</v>
      </c>
      <c r="S378" s="563">
        <v>0</v>
      </c>
    </row>
    <row r="379" spans="1:19" ht="13.5" customHeight="1">
      <c r="A379" s="561"/>
      <c r="B379" s="561"/>
      <c r="C379" s="562" t="s">
        <v>335</v>
      </c>
      <c r="D379" s="563">
        <v>20624</v>
      </c>
      <c r="E379" s="563">
        <f t="shared" si="161"/>
        <v>18421.5</v>
      </c>
      <c r="F379" s="563">
        <f t="shared" si="162"/>
        <v>89.32069433669511</v>
      </c>
      <c r="G379" s="563">
        <f t="shared" si="163"/>
        <v>18421.5</v>
      </c>
      <c r="H379" s="563">
        <f t="shared" si="164"/>
        <v>0</v>
      </c>
      <c r="I379" s="563">
        <v>0</v>
      </c>
      <c r="J379" s="563">
        <v>0</v>
      </c>
      <c r="K379" s="563">
        <v>0</v>
      </c>
      <c r="L379" s="563">
        <v>0</v>
      </c>
      <c r="M379" s="563">
        <v>18421.5</v>
      </c>
      <c r="N379" s="563">
        <v>0</v>
      </c>
      <c r="O379" s="563">
        <v>0</v>
      </c>
      <c r="P379" s="563">
        <f t="shared" si="165"/>
        <v>0</v>
      </c>
      <c r="Q379" s="563">
        <v>0</v>
      </c>
      <c r="R379" s="564">
        <v>0</v>
      </c>
      <c r="S379" s="563">
        <v>0</v>
      </c>
    </row>
    <row r="380" spans="1:19" ht="13.5" customHeight="1">
      <c r="A380" s="561"/>
      <c r="B380" s="561"/>
      <c r="C380" s="562" t="s">
        <v>336</v>
      </c>
      <c r="D380" s="563">
        <v>9726</v>
      </c>
      <c r="E380" s="563">
        <f t="shared" si="161"/>
        <v>3946.5</v>
      </c>
      <c r="F380" s="563">
        <f t="shared" si="162"/>
        <v>40.57680444170265</v>
      </c>
      <c r="G380" s="563">
        <f t="shared" si="163"/>
        <v>3946.5</v>
      </c>
      <c r="H380" s="563">
        <f t="shared" si="164"/>
        <v>0</v>
      </c>
      <c r="I380" s="563">
        <v>0</v>
      </c>
      <c r="J380" s="563">
        <v>0</v>
      </c>
      <c r="K380" s="563">
        <v>0</v>
      </c>
      <c r="L380" s="563">
        <v>0</v>
      </c>
      <c r="M380" s="563">
        <v>3946.5</v>
      </c>
      <c r="N380" s="563">
        <v>0</v>
      </c>
      <c r="O380" s="563">
        <v>0</v>
      </c>
      <c r="P380" s="563">
        <f t="shared" si="165"/>
        <v>0</v>
      </c>
      <c r="Q380" s="563">
        <v>0</v>
      </c>
      <c r="R380" s="564">
        <v>0</v>
      </c>
      <c r="S380" s="563">
        <v>0</v>
      </c>
    </row>
    <row r="381" spans="1:19" ht="13.5" customHeight="1">
      <c r="A381" s="561"/>
      <c r="B381" s="561"/>
      <c r="C381" s="562" t="s">
        <v>337</v>
      </c>
      <c r="D381" s="563">
        <v>1672</v>
      </c>
      <c r="E381" s="563">
        <f t="shared" si="161"/>
        <v>652.32</v>
      </c>
      <c r="F381" s="563">
        <f t="shared" si="162"/>
        <v>39.01435406698565</v>
      </c>
      <c r="G381" s="563">
        <f t="shared" si="163"/>
        <v>652.32</v>
      </c>
      <c r="H381" s="563">
        <f t="shared" si="164"/>
        <v>0</v>
      </c>
      <c r="I381" s="563">
        <v>0</v>
      </c>
      <c r="J381" s="563">
        <v>0</v>
      </c>
      <c r="K381" s="563">
        <v>0</v>
      </c>
      <c r="L381" s="563">
        <v>0</v>
      </c>
      <c r="M381" s="563">
        <v>652.32</v>
      </c>
      <c r="N381" s="563">
        <v>0</v>
      </c>
      <c r="O381" s="563">
        <v>0</v>
      </c>
      <c r="P381" s="563">
        <f t="shared" si="165"/>
        <v>0</v>
      </c>
      <c r="Q381" s="563">
        <v>0</v>
      </c>
      <c r="R381" s="564">
        <v>0</v>
      </c>
      <c r="S381" s="563">
        <v>0</v>
      </c>
    </row>
    <row r="382" spans="1:19" ht="13.5" customHeight="1">
      <c r="A382" s="561"/>
      <c r="B382" s="561"/>
      <c r="C382" s="562" t="s">
        <v>338</v>
      </c>
      <c r="D382" s="563">
        <v>251376</v>
      </c>
      <c r="E382" s="563">
        <f t="shared" si="161"/>
        <v>96777.81</v>
      </c>
      <c r="F382" s="563">
        <f t="shared" si="162"/>
        <v>38.49922426962001</v>
      </c>
      <c r="G382" s="563">
        <f t="shared" si="163"/>
        <v>96777.81</v>
      </c>
      <c r="H382" s="563">
        <f t="shared" si="164"/>
        <v>0</v>
      </c>
      <c r="I382" s="563">
        <v>0</v>
      </c>
      <c r="J382" s="563">
        <v>0</v>
      </c>
      <c r="K382" s="563">
        <v>0</v>
      </c>
      <c r="L382" s="563">
        <v>0</v>
      </c>
      <c r="M382" s="563">
        <v>96777.81</v>
      </c>
      <c r="N382" s="563">
        <v>0</v>
      </c>
      <c r="O382" s="563">
        <v>0</v>
      </c>
      <c r="P382" s="563">
        <f t="shared" si="165"/>
        <v>0</v>
      </c>
      <c r="Q382" s="563">
        <v>0</v>
      </c>
      <c r="R382" s="564">
        <v>0</v>
      </c>
      <c r="S382" s="563">
        <v>0</v>
      </c>
    </row>
    <row r="383" spans="1:19" ht="13.5" customHeight="1">
      <c r="A383" s="561"/>
      <c r="B383" s="561"/>
      <c r="C383" s="562" t="s">
        <v>294</v>
      </c>
      <c r="D383" s="563">
        <v>43070</v>
      </c>
      <c r="E383" s="563">
        <f t="shared" si="161"/>
        <v>16344.89</v>
      </c>
      <c r="F383" s="563">
        <f t="shared" si="162"/>
        <v>37.94959368469932</v>
      </c>
      <c r="G383" s="563">
        <f t="shared" si="163"/>
        <v>16344.89</v>
      </c>
      <c r="H383" s="563">
        <f t="shared" si="164"/>
        <v>0</v>
      </c>
      <c r="I383" s="563">
        <v>0</v>
      </c>
      <c r="J383" s="563">
        <v>0</v>
      </c>
      <c r="K383" s="563">
        <v>0</v>
      </c>
      <c r="L383" s="563">
        <v>0</v>
      </c>
      <c r="M383" s="563">
        <v>16344.89</v>
      </c>
      <c r="N383" s="563">
        <v>0</v>
      </c>
      <c r="O383" s="563">
        <v>0</v>
      </c>
      <c r="P383" s="563">
        <f t="shared" si="165"/>
        <v>0</v>
      </c>
      <c r="Q383" s="563">
        <v>0</v>
      </c>
      <c r="R383" s="564">
        <v>0</v>
      </c>
      <c r="S383" s="563">
        <v>0</v>
      </c>
    </row>
    <row r="384" spans="1:19" ht="13.5" customHeight="1">
      <c r="A384" s="561"/>
      <c r="B384" s="561"/>
      <c r="C384" s="562" t="s">
        <v>357</v>
      </c>
      <c r="D384" s="563">
        <v>721</v>
      </c>
      <c r="E384" s="563">
        <f>G384+P384</f>
        <v>343.2</v>
      </c>
      <c r="F384" s="563">
        <f>E384/D384*100</f>
        <v>47.600554785020805</v>
      </c>
      <c r="G384" s="563">
        <f>H384+K384+L384+M384+N384+O384</f>
        <v>343.2</v>
      </c>
      <c r="H384" s="563">
        <f>SUM(I384:J384)</f>
        <v>0</v>
      </c>
      <c r="I384" s="563">
        <v>0</v>
      </c>
      <c r="J384" s="563">
        <v>0</v>
      </c>
      <c r="K384" s="563">
        <v>0</v>
      </c>
      <c r="L384" s="563">
        <v>0</v>
      </c>
      <c r="M384" s="563">
        <v>343.2</v>
      </c>
      <c r="N384" s="563">
        <v>0</v>
      </c>
      <c r="O384" s="563">
        <v>0</v>
      </c>
      <c r="P384" s="563">
        <f>Q384+S384</f>
        <v>0</v>
      </c>
      <c r="Q384" s="563">
        <v>0</v>
      </c>
      <c r="R384" s="564">
        <v>0</v>
      </c>
      <c r="S384" s="563">
        <v>0</v>
      </c>
    </row>
    <row r="385" spans="1:19" ht="13.5" customHeight="1">
      <c r="A385" s="561"/>
      <c r="B385" s="561"/>
      <c r="C385" s="562" t="s">
        <v>622</v>
      </c>
      <c r="D385" s="563">
        <v>503</v>
      </c>
      <c r="E385" s="563">
        <f>G385+P385</f>
        <v>502.11</v>
      </c>
      <c r="F385" s="563">
        <f>E385/D385*100</f>
        <v>99.82306163021869</v>
      </c>
      <c r="G385" s="563">
        <f>H385+K385+L385+M385+N385+O385</f>
        <v>502.11</v>
      </c>
      <c r="H385" s="563">
        <f>SUM(I385:J385)</f>
        <v>0</v>
      </c>
      <c r="I385" s="563">
        <v>0</v>
      </c>
      <c r="J385" s="563">
        <v>0</v>
      </c>
      <c r="K385" s="563">
        <v>0</v>
      </c>
      <c r="L385" s="563">
        <v>0</v>
      </c>
      <c r="M385" s="563">
        <v>502.11</v>
      </c>
      <c r="N385" s="563">
        <v>0</v>
      </c>
      <c r="O385" s="563">
        <v>0</v>
      </c>
      <c r="P385" s="563">
        <f>Q385+S385</f>
        <v>0</v>
      </c>
      <c r="Q385" s="563">
        <v>0</v>
      </c>
      <c r="R385" s="564">
        <v>0</v>
      </c>
      <c r="S385" s="563">
        <v>0</v>
      </c>
    </row>
    <row r="386" spans="1:19" ht="13.5" customHeight="1">
      <c r="A386" s="561"/>
      <c r="B386" s="561"/>
      <c r="C386" s="562" t="s">
        <v>623</v>
      </c>
      <c r="D386" s="563">
        <v>88</v>
      </c>
      <c r="E386" s="563">
        <f t="shared" si="161"/>
        <v>88.61</v>
      </c>
      <c r="F386" s="563">
        <f t="shared" si="162"/>
        <v>100.69318181818181</v>
      </c>
      <c r="G386" s="563">
        <f t="shared" si="163"/>
        <v>88.61</v>
      </c>
      <c r="H386" s="563">
        <f t="shared" si="164"/>
        <v>0</v>
      </c>
      <c r="I386" s="563">
        <v>0</v>
      </c>
      <c r="J386" s="563">
        <v>0</v>
      </c>
      <c r="K386" s="563">
        <v>0</v>
      </c>
      <c r="L386" s="563">
        <v>0</v>
      </c>
      <c r="M386" s="563">
        <v>88.61</v>
      </c>
      <c r="N386" s="563">
        <v>0</v>
      </c>
      <c r="O386" s="563">
        <v>0</v>
      </c>
      <c r="P386" s="563">
        <f t="shared" si="165"/>
        <v>0</v>
      </c>
      <c r="Q386" s="563">
        <v>0</v>
      </c>
      <c r="R386" s="564">
        <v>0</v>
      </c>
      <c r="S386" s="563">
        <v>0</v>
      </c>
    </row>
    <row r="387" spans="1:19" ht="13.5" customHeight="1">
      <c r="A387" s="557" t="s">
        <v>59</v>
      </c>
      <c r="B387" s="557"/>
      <c r="C387" s="554"/>
      <c r="D387" s="560">
        <f>D388+D414+D418+D437+D453+D455+D458</f>
        <v>4500008</v>
      </c>
      <c r="E387" s="560">
        <f>E388+E414+E418+E437+E453+E455+E458</f>
        <v>4379483.380000001</v>
      </c>
      <c r="F387" s="560">
        <f aca="true" t="shared" si="166" ref="F387:F454">E387/D387*100</f>
        <v>97.32167987256913</v>
      </c>
      <c r="G387" s="560">
        <f aca="true" t="shared" si="167" ref="G387:S387">G388+G414+G418+G437+G453+G455+G458</f>
        <v>4360399.880000001</v>
      </c>
      <c r="H387" s="560">
        <f t="shared" si="167"/>
        <v>4223616.380000001</v>
      </c>
      <c r="I387" s="560">
        <f t="shared" si="167"/>
        <v>3330532.1600000006</v>
      </c>
      <c r="J387" s="560">
        <f t="shared" si="167"/>
        <v>893084.2199999999</v>
      </c>
      <c r="K387" s="560">
        <f t="shared" si="167"/>
        <v>0</v>
      </c>
      <c r="L387" s="560">
        <f t="shared" si="167"/>
        <v>114139.08</v>
      </c>
      <c r="M387" s="560">
        <f t="shared" si="167"/>
        <v>22644.420000000002</v>
      </c>
      <c r="N387" s="560">
        <f t="shared" si="167"/>
        <v>0</v>
      </c>
      <c r="O387" s="560">
        <f t="shared" si="167"/>
        <v>0</v>
      </c>
      <c r="P387" s="560">
        <f t="shared" si="167"/>
        <v>19083.5</v>
      </c>
      <c r="Q387" s="560">
        <f t="shared" si="167"/>
        <v>19083.5</v>
      </c>
      <c r="R387" s="560">
        <f t="shared" si="167"/>
        <v>0</v>
      </c>
      <c r="S387" s="560">
        <f t="shared" si="167"/>
        <v>0</v>
      </c>
    </row>
    <row r="388" spans="1:19" ht="13.5" customHeight="1">
      <c r="A388" s="557"/>
      <c r="B388" s="554" t="s">
        <v>60</v>
      </c>
      <c r="C388" s="554"/>
      <c r="D388" s="560">
        <f>SUM(D389:D413)</f>
        <v>2063762</v>
      </c>
      <c r="E388" s="560">
        <f>SUM(E389:E413)</f>
        <v>2010892.0800000003</v>
      </c>
      <c r="F388" s="560">
        <f t="shared" si="166"/>
        <v>97.43817746426188</v>
      </c>
      <c r="G388" s="560">
        <f aca="true" t="shared" si="168" ref="G388:S388">SUM(G389:G413)</f>
        <v>1996052.0800000003</v>
      </c>
      <c r="H388" s="560">
        <f t="shared" si="168"/>
        <v>1966015.0200000007</v>
      </c>
      <c r="I388" s="560">
        <f t="shared" si="168"/>
        <v>1410169.37</v>
      </c>
      <c r="J388" s="560">
        <f t="shared" si="168"/>
        <v>555845.65</v>
      </c>
      <c r="K388" s="560">
        <f t="shared" si="168"/>
        <v>0</v>
      </c>
      <c r="L388" s="560">
        <f t="shared" si="168"/>
        <v>7392.64</v>
      </c>
      <c r="M388" s="560">
        <f t="shared" si="168"/>
        <v>22644.420000000002</v>
      </c>
      <c r="N388" s="560">
        <f t="shared" si="168"/>
        <v>0</v>
      </c>
      <c r="O388" s="560">
        <f t="shared" si="168"/>
        <v>0</v>
      </c>
      <c r="P388" s="560">
        <f t="shared" si="168"/>
        <v>14840</v>
      </c>
      <c r="Q388" s="560">
        <f t="shared" si="168"/>
        <v>14840</v>
      </c>
      <c r="R388" s="560">
        <f t="shared" si="168"/>
        <v>0</v>
      </c>
      <c r="S388" s="560">
        <f t="shared" si="168"/>
        <v>0</v>
      </c>
    </row>
    <row r="389" spans="1:19" ht="13.5" customHeight="1">
      <c r="A389" s="561"/>
      <c r="B389" s="561"/>
      <c r="C389" s="562" t="s">
        <v>307</v>
      </c>
      <c r="D389" s="563">
        <v>8493</v>
      </c>
      <c r="E389" s="563">
        <f>G389+P389</f>
        <v>7392.64</v>
      </c>
      <c r="F389" s="563">
        <f t="shared" si="166"/>
        <v>87.04391852113505</v>
      </c>
      <c r="G389" s="563">
        <f>H389+K389+L389+M389+N389+O389</f>
        <v>7392.64</v>
      </c>
      <c r="H389" s="563">
        <f>SUM(I389:J389)</f>
        <v>0</v>
      </c>
      <c r="I389" s="563">
        <v>0</v>
      </c>
      <c r="J389" s="563">
        <v>0</v>
      </c>
      <c r="K389" s="563">
        <v>0</v>
      </c>
      <c r="L389" s="563">
        <v>7392.64</v>
      </c>
      <c r="M389" s="563">
        <v>0</v>
      </c>
      <c r="N389" s="563">
        <v>0</v>
      </c>
      <c r="O389" s="563">
        <v>0</v>
      </c>
      <c r="P389" s="563">
        <f>Q389+S389</f>
        <v>0</v>
      </c>
      <c r="Q389" s="563">
        <v>0</v>
      </c>
      <c r="R389" s="564">
        <v>0</v>
      </c>
      <c r="S389" s="563">
        <v>0</v>
      </c>
    </row>
    <row r="390" spans="1:19" ht="13.5" customHeight="1">
      <c r="A390" s="561"/>
      <c r="B390" s="561"/>
      <c r="C390" s="562" t="s">
        <v>295</v>
      </c>
      <c r="D390" s="563">
        <v>1100422</v>
      </c>
      <c r="E390" s="563">
        <f>G390+P390</f>
        <v>1092511.07</v>
      </c>
      <c r="F390" s="563">
        <f t="shared" si="166"/>
        <v>99.28110034150535</v>
      </c>
      <c r="G390" s="563">
        <f>H390+K390+L390+M390+N390+O390</f>
        <v>1092511.07</v>
      </c>
      <c r="H390" s="563">
        <f>SUM(I390:J390)</f>
        <v>1092511.07</v>
      </c>
      <c r="I390" s="563">
        <v>1092511.07</v>
      </c>
      <c r="J390" s="563">
        <v>0</v>
      </c>
      <c r="K390" s="563">
        <v>0</v>
      </c>
      <c r="L390" s="563">
        <v>0</v>
      </c>
      <c r="M390" s="563">
        <v>0</v>
      </c>
      <c r="N390" s="563">
        <v>0</v>
      </c>
      <c r="O390" s="563">
        <v>0</v>
      </c>
      <c r="P390" s="563">
        <f>Q390+S390</f>
        <v>0</v>
      </c>
      <c r="Q390" s="563">
        <v>0</v>
      </c>
      <c r="R390" s="564">
        <v>0</v>
      </c>
      <c r="S390" s="563">
        <v>0</v>
      </c>
    </row>
    <row r="391" spans="1:19" ht="13.5" customHeight="1">
      <c r="A391" s="561"/>
      <c r="B391" s="561"/>
      <c r="C391" s="562" t="s">
        <v>296</v>
      </c>
      <c r="D391" s="563">
        <v>91801</v>
      </c>
      <c r="E391" s="563">
        <f>G391+P391</f>
        <v>90830.31</v>
      </c>
      <c r="F391" s="563">
        <f t="shared" si="166"/>
        <v>98.94261500419385</v>
      </c>
      <c r="G391" s="563">
        <f>H391+K391+L391+M391+N391+O391</f>
        <v>90830.31</v>
      </c>
      <c r="H391" s="563">
        <f>SUM(I391:J391)</f>
        <v>90830.31</v>
      </c>
      <c r="I391" s="563">
        <v>90830.31</v>
      </c>
      <c r="J391" s="563">
        <v>0</v>
      </c>
      <c r="K391" s="563">
        <v>0</v>
      </c>
      <c r="L391" s="563">
        <v>0</v>
      </c>
      <c r="M391" s="563">
        <v>0</v>
      </c>
      <c r="N391" s="563">
        <v>0</v>
      </c>
      <c r="O391" s="563">
        <v>0</v>
      </c>
      <c r="P391" s="563">
        <f>Q391+S391</f>
        <v>0</v>
      </c>
      <c r="Q391" s="563">
        <v>0</v>
      </c>
      <c r="R391" s="564">
        <v>0</v>
      </c>
      <c r="S391" s="563">
        <v>0</v>
      </c>
    </row>
    <row r="392" spans="1:19" ht="13.5" customHeight="1">
      <c r="A392" s="561"/>
      <c r="B392" s="561"/>
      <c r="C392" s="562" t="s">
        <v>297</v>
      </c>
      <c r="D392" s="563">
        <v>204900</v>
      </c>
      <c r="E392" s="563">
        <f>G392+P392</f>
        <v>204258.48</v>
      </c>
      <c r="F392" s="563">
        <f t="shared" si="166"/>
        <v>99.68691068814056</v>
      </c>
      <c r="G392" s="563">
        <f>H392+K392+L392+M392+N392+O392</f>
        <v>204258.48</v>
      </c>
      <c r="H392" s="563">
        <f>SUM(I392:J392)</f>
        <v>204258.48</v>
      </c>
      <c r="I392" s="563">
        <v>204258.48</v>
      </c>
      <c r="J392" s="563">
        <v>0</v>
      </c>
      <c r="K392" s="563">
        <v>0</v>
      </c>
      <c r="L392" s="563">
        <v>0</v>
      </c>
      <c r="M392" s="563">
        <v>0</v>
      </c>
      <c r="N392" s="563">
        <v>0</v>
      </c>
      <c r="O392" s="563">
        <v>0</v>
      </c>
      <c r="P392" s="563">
        <f>Q392+S392</f>
        <v>0</v>
      </c>
      <c r="Q392" s="563">
        <v>0</v>
      </c>
      <c r="R392" s="564">
        <v>0</v>
      </c>
      <c r="S392" s="563">
        <v>0</v>
      </c>
    </row>
    <row r="393" spans="1:19" ht="13.5" customHeight="1">
      <c r="A393" s="561"/>
      <c r="B393" s="561"/>
      <c r="C393" s="562" t="s">
        <v>298</v>
      </c>
      <c r="D393" s="563">
        <v>22570</v>
      </c>
      <c r="E393" s="563">
        <f aca="true" t="shared" si="169" ref="E393:E400">G393+P393</f>
        <v>22569.51</v>
      </c>
      <c r="F393" s="563">
        <f aca="true" t="shared" si="170" ref="F393:F400">E393/D393*100</f>
        <v>99.99782897651748</v>
      </c>
      <c r="G393" s="563">
        <f aca="true" t="shared" si="171" ref="G393:G400">H393+K393+L393+M393+N393+O393</f>
        <v>22569.51</v>
      </c>
      <c r="H393" s="563">
        <f aca="true" t="shared" si="172" ref="H393:H400">SUM(I393:J393)</f>
        <v>22569.51</v>
      </c>
      <c r="I393" s="563">
        <v>22569.51</v>
      </c>
      <c r="J393" s="563">
        <v>0</v>
      </c>
      <c r="K393" s="563">
        <v>0</v>
      </c>
      <c r="L393" s="563">
        <v>0</v>
      </c>
      <c r="M393" s="563">
        <v>0</v>
      </c>
      <c r="N393" s="563">
        <v>0</v>
      </c>
      <c r="O393" s="563">
        <v>0</v>
      </c>
      <c r="P393" s="563">
        <f aca="true" t="shared" si="173" ref="P393:P400">Q393+S393</f>
        <v>0</v>
      </c>
      <c r="Q393" s="563">
        <v>0</v>
      </c>
      <c r="R393" s="564">
        <v>0</v>
      </c>
      <c r="S393" s="563">
        <v>0</v>
      </c>
    </row>
    <row r="394" spans="1:19" ht="13.5" customHeight="1">
      <c r="A394" s="561"/>
      <c r="B394" s="561"/>
      <c r="C394" s="562" t="s">
        <v>123</v>
      </c>
      <c r="D394" s="563">
        <v>86306</v>
      </c>
      <c r="E394" s="563">
        <f t="shared" si="169"/>
        <v>82306.49</v>
      </c>
      <c r="F394" s="563">
        <f t="shared" si="170"/>
        <v>95.36589576622715</v>
      </c>
      <c r="G394" s="563">
        <f t="shared" si="171"/>
        <v>82306.49</v>
      </c>
      <c r="H394" s="563">
        <f t="shared" si="172"/>
        <v>82306.49</v>
      </c>
      <c r="I394" s="563">
        <v>0</v>
      </c>
      <c r="J394" s="563">
        <v>82306.49</v>
      </c>
      <c r="K394" s="563">
        <v>0</v>
      </c>
      <c r="L394" s="563">
        <v>0</v>
      </c>
      <c r="M394" s="563">
        <v>0</v>
      </c>
      <c r="N394" s="563">
        <v>0</v>
      </c>
      <c r="O394" s="563">
        <v>0</v>
      </c>
      <c r="P394" s="563">
        <f t="shared" si="173"/>
        <v>0</v>
      </c>
      <c r="Q394" s="563">
        <v>0</v>
      </c>
      <c r="R394" s="564">
        <v>0</v>
      </c>
      <c r="S394" s="563">
        <v>0</v>
      </c>
    </row>
    <row r="395" spans="1:19" ht="13.5" customHeight="1">
      <c r="A395" s="561"/>
      <c r="B395" s="561"/>
      <c r="C395" s="562" t="s">
        <v>376</v>
      </c>
      <c r="D395" s="563">
        <v>16805</v>
      </c>
      <c r="E395" s="563">
        <f>G395+P395</f>
        <v>4.44</v>
      </c>
      <c r="F395" s="563">
        <f>E395/D395*100</f>
        <v>0.026420708122582567</v>
      </c>
      <c r="G395" s="563">
        <f>H395+K395+L395+M395+N395+O395</f>
        <v>4.44</v>
      </c>
      <c r="H395" s="563">
        <f>SUM(I395:J395)</f>
        <v>0</v>
      </c>
      <c r="I395" s="563">
        <v>0</v>
      </c>
      <c r="J395" s="563">
        <v>0</v>
      </c>
      <c r="K395" s="563">
        <v>0</v>
      </c>
      <c r="L395" s="563">
        <v>0</v>
      </c>
      <c r="M395" s="563">
        <v>4.44</v>
      </c>
      <c r="N395" s="563">
        <v>0</v>
      </c>
      <c r="O395" s="563">
        <v>0</v>
      </c>
      <c r="P395" s="563">
        <f>Q395+S395</f>
        <v>0</v>
      </c>
      <c r="Q395" s="563">
        <v>0</v>
      </c>
      <c r="R395" s="564">
        <v>0</v>
      </c>
      <c r="S395" s="563">
        <v>0</v>
      </c>
    </row>
    <row r="396" spans="1:19" ht="13.5" customHeight="1">
      <c r="A396" s="561"/>
      <c r="B396" s="561"/>
      <c r="C396" s="562" t="s">
        <v>313</v>
      </c>
      <c r="D396" s="563">
        <v>89635</v>
      </c>
      <c r="E396" s="563">
        <f t="shared" si="169"/>
        <v>77925.7</v>
      </c>
      <c r="F396" s="563">
        <f t="shared" si="170"/>
        <v>86.93668767780443</v>
      </c>
      <c r="G396" s="563">
        <f t="shared" si="171"/>
        <v>77925.7</v>
      </c>
      <c r="H396" s="563">
        <f t="shared" si="172"/>
        <v>77925.7</v>
      </c>
      <c r="I396" s="563">
        <v>0</v>
      </c>
      <c r="J396" s="563">
        <v>77925.7</v>
      </c>
      <c r="K396" s="563">
        <v>0</v>
      </c>
      <c r="L396" s="563">
        <v>0</v>
      </c>
      <c r="M396" s="563">
        <v>0</v>
      </c>
      <c r="N396" s="563">
        <v>0</v>
      </c>
      <c r="O396" s="563">
        <v>0</v>
      </c>
      <c r="P396" s="563">
        <f t="shared" si="173"/>
        <v>0</v>
      </c>
      <c r="Q396" s="563">
        <v>0</v>
      </c>
      <c r="R396" s="564">
        <v>0</v>
      </c>
      <c r="S396" s="563">
        <v>0</v>
      </c>
    </row>
    <row r="397" spans="1:19" ht="13.5" customHeight="1">
      <c r="A397" s="561"/>
      <c r="B397" s="561"/>
      <c r="C397" s="562" t="s">
        <v>331</v>
      </c>
      <c r="D397" s="563">
        <v>6300</v>
      </c>
      <c r="E397" s="563">
        <f t="shared" si="169"/>
        <v>6296.62</v>
      </c>
      <c r="F397" s="563">
        <f t="shared" si="170"/>
        <v>99.94634920634921</v>
      </c>
      <c r="G397" s="563">
        <f t="shared" si="171"/>
        <v>6296.62</v>
      </c>
      <c r="H397" s="563">
        <f t="shared" si="172"/>
        <v>6296.62</v>
      </c>
      <c r="I397" s="563">
        <v>0</v>
      </c>
      <c r="J397" s="563">
        <v>6296.62</v>
      </c>
      <c r="K397" s="563">
        <v>0</v>
      </c>
      <c r="L397" s="563">
        <v>0</v>
      </c>
      <c r="M397" s="563">
        <v>0</v>
      </c>
      <c r="N397" s="563">
        <v>0</v>
      </c>
      <c r="O397" s="563">
        <v>0</v>
      </c>
      <c r="P397" s="563">
        <f t="shared" si="173"/>
        <v>0</v>
      </c>
      <c r="Q397" s="563">
        <v>0</v>
      </c>
      <c r="R397" s="564">
        <v>0</v>
      </c>
      <c r="S397" s="563">
        <v>0</v>
      </c>
    </row>
    <row r="398" spans="1:19" ht="13.5" customHeight="1">
      <c r="A398" s="561"/>
      <c r="B398" s="561"/>
      <c r="C398" s="562" t="s">
        <v>315</v>
      </c>
      <c r="D398" s="563">
        <v>152415</v>
      </c>
      <c r="E398" s="563">
        <f t="shared" si="169"/>
        <v>152413.89</v>
      </c>
      <c r="F398" s="563">
        <f t="shared" si="170"/>
        <v>99.9992717252239</v>
      </c>
      <c r="G398" s="563">
        <f t="shared" si="171"/>
        <v>152413.89</v>
      </c>
      <c r="H398" s="563">
        <f t="shared" si="172"/>
        <v>152413.89</v>
      </c>
      <c r="I398" s="563">
        <v>0</v>
      </c>
      <c r="J398" s="563">
        <v>152413.89</v>
      </c>
      <c r="K398" s="563">
        <v>0</v>
      </c>
      <c r="L398" s="563">
        <v>0</v>
      </c>
      <c r="M398" s="563">
        <v>0</v>
      </c>
      <c r="N398" s="563">
        <v>0</v>
      </c>
      <c r="O398" s="563">
        <v>0</v>
      </c>
      <c r="P398" s="563">
        <f t="shared" si="173"/>
        <v>0</v>
      </c>
      <c r="Q398" s="563">
        <v>0</v>
      </c>
      <c r="R398" s="564">
        <v>0</v>
      </c>
      <c r="S398" s="563">
        <v>0</v>
      </c>
    </row>
    <row r="399" spans="1:19" ht="13.5" customHeight="1">
      <c r="A399" s="561"/>
      <c r="B399" s="561"/>
      <c r="C399" s="562" t="s">
        <v>124</v>
      </c>
      <c r="D399" s="563">
        <v>71733</v>
      </c>
      <c r="E399" s="563">
        <f t="shared" si="169"/>
        <v>71732.35</v>
      </c>
      <c r="F399" s="563">
        <f t="shared" si="170"/>
        <v>99.99909386196033</v>
      </c>
      <c r="G399" s="563">
        <f t="shared" si="171"/>
        <v>71732.35</v>
      </c>
      <c r="H399" s="563">
        <f t="shared" si="172"/>
        <v>71732.35</v>
      </c>
      <c r="I399" s="563">
        <v>0</v>
      </c>
      <c r="J399" s="563">
        <v>71732.35</v>
      </c>
      <c r="K399" s="563">
        <v>0</v>
      </c>
      <c r="L399" s="563">
        <v>0</v>
      </c>
      <c r="M399" s="563">
        <v>0</v>
      </c>
      <c r="N399" s="563">
        <v>0</v>
      </c>
      <c r="O399" s="563">
        <v>0</v>
      </c>
      <c r="P399" s="563">
        <f t="shared" si="173"/>
        <v>0</v>
      </c>
      <c r="Q399" s="563">
        <v>0</v>
      </c>
      <c r="R399" s="564">
        <v>0</v>
      </c>
      <c r="S399" s="563">
        <v>0</v>
      </c>
    </row>
    <row r="400" spans="1:19" ht="13.5" customHeight="1">
      <c r="A400" s="561"/>
      <c r="B400" s="561"/>
      <c r="C400" s="562" t="s">
        <v>306</v>
      </c>
      <c r="D400" s="563">
        <v>5180</v>
      </c>
      <c r="E400" s="563">
        <f t="shared" si="169"/>
        <v>5180</v>
      </c>
      <c r="F400" s="563">
        <f t="shared" si="170"/>
        <v>100</v>
      </c>
      <c r="G400" s="563">
        <f t="shared" si="171"/>
        <v>5180</v>
      </c>
      <c r="H400" s="563">
        <f t="shared" si="172"/>
        <v>5180</v>
      </c>
      <c r="I400" s="563">
        <v>0</v>
      </c>
      <c r="J400" s="563">
        <v>5180</v>
      </c>
      <c r="K400" s="563">
        <v>0</v>
      </c>
      <c r="L400" s="563">
        <v>0</v>
      </c>
      <c r="M400" s="563">
        <v>0</v>
      </c>
      <c r="N400" s="563">
        <v>0</v>
      </c>
      <c r="O400" s="563">
        <v>0</v>
      </c>
      <c r="P400" s="563">
        <f t="shared" si="173"/>
        <v>0</v>
      </c>
      <c r="Q400" s="563">
        <v>0</v>
      </c>
      <c r="R400" s="564">
        <v>0</v>
      </c>
      <c r="S400" s="563">
        <v>0</v>
      </c>
    </row>
    <row r="401" spans="1:19" ht="13.5" customHeight="1">
      <c r="A401" s="561"/>
      <c r="B401" s="561"/>
      <c r="C401" s="562" t="s">
        <v>125</v>
      </c>
      <c r="D401" s="563">
        <v>80380</v>
      </c>
      <c r="E401" s="563">
        <f aca="true" t="shared" si="174" ref="E401:E413">G401+P401</f>
        <v>74654.36</v>
      </c>
      <c r="F401" s="563">
        <f t="shared" si="166"/>
        <v>92.87678526996766</v>
      </c>
      <c r="G401" s="563">
        <f aca="true" t="shared" si="175" ref="G401:G413">H401+K401+L401+M401+N401+O401</f>
        <v>74654.36</v>
      </c>
      <c r="H401" s="563">
        <f aca="true" t="shared" si="176" ref="H401:H413">SUM(I401:J401)</f>
        <v>74654.36</v>
      </c>
      <c r="I401" s="563">
        <v>0</v>
      </c>
      <c r="J401" s="563">
        <f>3279.8+71374.56</f>
        <v>74654.36</v>
      </c>
      <c r="K401" s="563">
        <v>0</v>
      </c>
      <c r="L401" s="563">
        <v>0</v>
      </c>
      <c r="M401" s="563">
        <v>0</v>
      </c>
      <c r="N401" s="563">
        <v>0</v>
      </c>
      <c r="O401" s="563">
        <v>0</v>
      </c>
      <c r="P401" s="563">
        <f aca="true" t="shared" si="177" ref="P401:P413">Q401+S401</f>
        <v>0</v>
      </c>
      <c r="Q401" s="563">
        <v>0</v>
      </c>
      <c r="R401" s="564">
        <v>0</v>
      </c>
      <c r="S401" s="563">
        <v>0</v>
      </c>
    </row>
    <row r="402" spans="1:19" ht="13.5" customHeight="1">
      <c r="A402" s="561"/>
      <c r="B402" s="561"/>
      <c r="C402" s="562" t="s">
        <v>377</v>
      </c>
      <c r="D402" s="563">
        <v>2755</v>
      </c>
      <c r="E402" s="563">
        <f t="shared" si="174"/>
        <v>2755.44</v>
      </c>
      <c r="F402" s="563">
        <f t="shared" si="166"/>
        <v>100.01597096188748</v>
      </c>
      <c r="G402" s="563">
        <f t="shared" si="175"/>
        <v>2755.44</v>
      </c>
      <c r="H402" s="563">
        <f t="shared" si="176"/>
        <v>0</v>
      </c>
      <c r="I402" s="563">
        <v>0</v>
      </c>
      <c r="J402" s="563">
        <v>0</v>
      </c>
      <c r="K402" s="563">
        <v>0</v>
      </c>
      <c r="L402" s="563">
        <v>0</v>
      </c>
      <c r="M402" s="563">
        <v>2755.44</v>
      </c>
      <c r="N402" s="563">
        <v>0</v>
      </c>
      <c r="O402" s="563">
        <v>0</v>
      </c>
      <c r="P402" s="563">
        <f t="shared" si="177"/>
        <v>0</v>
      </c>
      <c r="Q402" s="563">
        <v>0</v>
      </c>
      <c r="R402" s="564">
        <v>0</v>
      </c>
      <c r="S402" s="563">
        <v>0</v>
      </c>
    </row>
    <row r="403" spans="1:19" ht="13.5" customHeight="1">
      <c r="A403" s="561"/>
      <c r="B403" s="561"/>
      <c r="C403" s="562" t="s">
        <v>300</v>
      </c>
      <c r="D403" s="563">
        <v>8435</v>
      </c>
      <c r="E403" s="563">
        <f t="shared" si="174"/>
        <v>8433.8</v>
      </c>
      <c r="F403" s="563">
        <f>E403/D403*100</f>
        <v>99.98577356253703</v>
      </c>
      <c r="G403" s="563">
        <f t="shared" si="175"/>
        <v>8433.8</v>
      </c>
      <c r="H403" s="563">
        <f t="shared" si="176"/>
        <v>8433.8</v>
      </c>
      <c r="I403" s="563">
        <v>0</v>
      </c>
      <c r="J403" s="563">
        <v>8433.8</v>
      </c>
      <c r="K403" s="563">
        <v>0</v>
      </c>
      <c r="L403" s="563">
        <v>0</v>
      </c>
      <c r="M403" s="563">
        <v>0</v>
      </c>
      <c r="N403" s="563">
        <v>0</v>
      </c>
      <c r="O403" s="563">
        <v>0</v>
      </c>
      <c r="P403" s="563">
        <f t="shared" si="177"/>
        <v>0</v>
      </c>
      <c r="Q403" s="563">
        <v>0</v>
      </c>
      <c r="R403" s="564">
        <v>0</v>
      </c>
      <c r="S403" s="563">
        <v>0</v>
      </c>
    </row>
    <row r="404" spans="1:19" ht="13.5" customHeight="1">
      <c r="A404" s="561"/>
      <c r="B404" s="561"/>
      <c r="C404" s="562" t="s">
        <v>302</v>
      </c>
      <c r="D404" s="563">
        <v>3238</v>
      </c>
      <c r="E404" s="563">
        <f t="shared" si="174"/>
        <v>3236.85</v>
      </c>
      <c r="F404" s="563">
        <f t="shared" si="166"/>
        <v>99.96448424953674</v>
      </c>
      <c r="G404" s="563">
        <f t="shared" si="175"/>
        <v>3236.85</v>
      </c>
      <c r="H404" s="563">
        <f t="shared" si="176"/>
        <v>3236.85</v>
      </c>
      <c r="I404" s="563">
        <v>0</v>
      </c>
      <c r="J404" s="563">
        <v>3236.85</v>
      </c>
      <c r="K404" s="563">
        <v>0</v>
      </c>
      <c r="L404" s="563">
        <v>0</v>
      </c>
      <c r="M404" s="563">
        <v>0</v>
      </c>
      <c r="N404" s="563">
        <v>0</v>
      </c>
      <c r="O404" s="563">
        <v>0</v>
      </c>
      <c r="P404" s="563">
        <f t="shared" si="177"/>
        <v>0</v>
      </c>
      <c r="Q404" s="563">
        <v>0</v>
      </c>
      <c r="R404" s="564">
        <v>0</v>
      </c>
      <c r="S404" s="563">
        <v>0</v>
      </c>
    </row>
    <row r="405" spans="1:19" ht="13.5" customHeight="1">
      <c r="A405" s="561"/>
      <c r="B405" s="561"/>
      <c r="C405" s="562" t="s">
        <v>378</v>
      </c>
      <c r="D405" s="563">
        <v>19704</v>
      </c>
      <c r="E405" s="563">
        <f>G405+P405</f>
        <v>19704.06</v>
      </c>
      <c r="F405" s="563">
        <f>E405/D405*100</f>
        <v>100.00030450669914</v>
      </c>
      <c r="G405" s="563">
        <f>H405+K405+L405+M405+N405+O405</f>
        <v>19704.06</v>
      </c>
      <c r="H405" s="563">
        <f>SUM(I405:J405)</f>
        <v>0</v>
      </c>
      <c r="I405" s="563">
        <v>0</v>
      </c>
      <c r="J405" s="563">
        <v>0</v>
      </c>
      <c r="K405" s="563">
        <v>0</v>
      </c>
      <c r="L405" s="563">
        <v>0</v>
      </c>
      <c r="M405" s="563">
        <v>19704.06</v>
      </c>
      <c r="N405" s="563">
        <v>0</v>
      </c>
      <c r="O405" s="563">
        <v>0</v>
      </c>
      <c r="P405" s="563">
        <f>Q405+S405</f>
        <v>0</v>
      </c>
      <c r="Q405" s="563">
        <v>0</v>
      </c>
      <c r="R405" s="564">
        <v>0</v>
      </c>
      <c r="S405" s="563">
        <v>0</v>
      </c>
    </row>
    <row r="406" spans="1:19" ht="13.5" customHeight="1">
      <c r="A406" s="561"/>
      <c r="B406" s="561"/>
      <c r="C406" s="562" t="s">
        <v>303</v>
      </c>
      <c r="D406" s="563">
        <v>9699</v>
      </c>
      <c r="E406" s="563">
        <f t="shared" si="174"/>
        <v>9698.26</v>
      </c>
      <c r="F406" s="563">
        <f t="shared" si="166"/>
        <v>99.9923703474585</v>
      </c>
      <c r="G406" s="563">
        <f t="shared" si="175"/>
        <v>9698.26</v>
      </c>
      <c r="H406" s="563">
        <f t="shared" si="176"/>
        <v>9698.26</v>
      </c>
      <c r="I406" s="563">
        <v>0</v>
      </c>
      <c r="J406" s="563">
        <v>9698.26</v>
      </c>
      <c r="K406" s="563">
        <v>0</v>
      </c>
      <c r="L406" s="563">
        <v>0</v>
      </c>
      <c r="M406" s="563">
        <v>0</v>
      </c>
      <c r="N406" s="563">
        <v>0</v>
      </c>
      <c r="O406" s="563">
        <v>0</v>
      </c>
      <c r="P406" s="563">
        <f t="shared" si="177"/>
        <v>0</v>
      </c>
      <c r="Q406" s="563">
        <v>0</v>
      </c>
      <c r="R406" s="564">
        <v>0</v>
      </c>
      <c r="S406" s="563">
        <v>0</v>
      </c>
    </row>
    <row r="407" spans="1:19" ht="13.5" customHeight="1">
      <c r="A407" s="561"/>
      <c r="B407" s="561"/>
      <c r="C407" s="562" t="s">
        <v>508</v>
      </c>
      <c r="D407" s="563">
        <v>180</v>
      </c>
      <c r="E407" s="563">
        <f>G407+P407</f>
        <v>180.48</v>
      </c>
      <c r="F407" s="563">
        <f>E407/D407*100</f>
        <v>100.26666666666667</v>
      </c>
      <c r="G407" s="563">
        <f>H407+K407+L407+M407+N407+O407</f>
        <v>180.48</v>
      </c>
      <c r="H407" s="563">
        <f>SUM(I407:J407)</f>
        <v>0</v>
      </c>
      <c r="I407" s="563">
        <v>0</v>
      </c>
      <c r="J407" s="563">
        <v>0</v>
      </c>
      <c r="K407" s="563">
        <v>0</v>
      </c>
      <c r="L407" s="563">
        <v>0</v>
      </c>
      <c r="M407" s="563">
        <v>180.48</v>
      </c>
      <c r="N407" s="563">
        <v>0</v>
      </c>
      <c r="O407" s="563">
        <v>0</v>
      </c>
      <c r="P407" s="563">
        <f>Q407+S407</f>
        <v>0</v>
      </c>
      <c r="Q407" s="563">
        <v>0</v>
      </c>
      <c r="R407" s="564">
        <v>0</v>
      </c>
      <c r="S407" s="563">
        <v>0</v>
      </c>
    </row>
    <row r="408" spans="1:19" ht="13.5" customHeight="1">
      <c r="A408" s="561"/>
      <c r="B408" s="561"/>
      <c r="C408" s="562" t="s">
        <v>304</v>
      </c>
      <c r="D408" s="563">
        <v>59685</v>
      </c>
      <c r="E408" s="563">
        <f t="shared" si="174"/>
        <v>59684.37</v>
      </c>
      <c r="F408" s="563">
        <f t="shared" si="166"/>
        <v>99.99894445840664</v>
      </c>
      <c r="G408" s="563">
        <f t="shared" si="175"/>
        <v>59684.37</v>
      </c>
      <c r="H408" s="563">
        <f t="shared" si="176"/>
        <v>59684.37</v>
      </c>
      <c r="I408" s="563">
        <v>0</v>
      </c>
      <c r="J408" s="563">
        <v>59684.37</v>
      </c>
      <c r="K408" s="563">
        <v>0</v>
      </c>
      <c r="L408" s="563">
        <v>0</v>
      </c>
      <c r="M408" s="563">
        <v>0</v>
      </c>
      <c r="N408" s="563">
        <v>0</v>
      </c>
      <c r="O408" s="563">
        <v>0</v>
      </c>
      <c r="P408" s="563">
        <f t="shared" si="177"/>
        <v>0</v>
      </c>
      <c r="Q408" s="563">
        <v>0</v>
      </c>
      <c r="R408" s="564">
        <v>0</v>
      </c>
      <c r="S408" s="563">
        <v>0</v>
      </c>
    </row>
    <row r="409" spans="1:19" ht="13.5" customHeight="1">
      <c r="A409" s="561"/>
      <c r="B409" s="561"/>
      <c r="C409" s="562" t="s">
        <v>317</v>
      </c>
      <c r="D409" s="563">
        <v>65</v>
      </c>
      <c r="E409" s="563">
        <f t="shared" si="174"/>
        <v>65</v>
      </c>
      <c r="F409" s="563">
        <f>E409/D409*100</f>
        <v>100</v>
      </c>
      <c r="G409" s="563">
        <f t="shared" si="175"/>
        <v>65</v>
      </c>
      <c r="H409" s="563">
        <f t="shared" si="176"/>
        <v>65</v>
      </c>
      <c r="I409" s="563">
        <v>0</v>
      </c>
      <c r="J409" s="563">
        <v>65</v>
      </c>
      <c r="K409" s="563">
        <v>0</v>
      </c>
      <c r="L409" s="563">
        <v>0</v>
      </c>
      <c r="M409" s="563">
        <v>0</v>
      </c>
      <c r="N409" s="563">
        <v>0</v>
      </c>
      <c r="O409" s="563">
        <v>0</v>
      </c>
      <c r="P409" s="563">
        <f t="shared" si="177"/>
        <v>0</v>
      </c>
      <c r="Q409" s="563">
        <v>0</v>
      </c>
      <c r="R409" s="564">
        <v>0</v>
      </c>
      <c r="S409" s="563">
        <v>0</v>
      </c>
    </row>
    <row r="410" spans="1:19" ht="13.5" customHeight="1">
      <c r="A410" s="561"/>
      <c r="B410" s="561"/>
      <c r="C410" s="562" t="s">
        <v>319</v>
      </c>
      <c r="D410" s="563">
        <v>2293</v>
      </c>
      <c r="E410" s="563">
        <f>G410+P410</f>
        <v>2292.96</v>
      </c>
      <c r="F410" s="563">
        <f>E410/D410*100</f>
        <v>99.99825556040123</v>
      </c>
      <c r="G410" s="563">
        <f>H410+K410+L410+M410+N410+O410</f>
        <v>2292.96</v>
      </c>
      <c r="H410" s="563">
        <f>SUM(I410:J410)</f>
        <v>2292.96</v>
      </c>
      <c r="I410" s="563">
        <v>0</v>
      </c>
      <c r="J410" s="563">
        <v>2292.96</v>
      </c>
      <c r="K410" s="563">
        <v>0</v>
      </c>
      <c r="L410" s="563">
        <v>0</v>
      </c>
      <c r="M410" s="563">
        <v>0</v>
      </c>
      <c r="N410" s="563">
        <v>0</v>
      </c>
      <c r="O410" s="563">
        <v>0</v>
      </c>
      <c r="P410" s="563">
        <f>Q410+S410</f>
        <v>0</v>
      </c>
      <c r="Q410" s="563">
        <v>0</v>
      </c>
      <c r="R410" s="564">
        <v>0</v>
      </c>
      <c r="S410" s="563">
        <v>0</v>
      </c>
    </row>
    <row r="411" spans="1:19" ht="13.5" customHeight="1">
      <c r="A411" s="561"/>
      <c r="B411" s="561"/>
      <c r="C411" s="562" t="s">
        <v>145</v>
      </c>
      <c r="D411" s="563">
        <v>1928</v>
      </c>
      <c r="E411" s="563">
        <f t="shared" si="174"/>
        <v>1925</v>
      </c>
      <c r="F411" s="563">
        <f>E411/D411*100</f>
        <v>99.84439834024896</v>
      </c>
      <c r="G411" s="563">
        <f t="shared" si="175"/>
        <v>1925</v>
      </c>
      <c r="H411" s="563">
        <f t="shared" si="176"/>
        <v>1925</v>
      </c>
      <c r="I411" s="563">
        <v>0</v>
      </c>
      <c r="J411" s="563">
        <v>1925</v>
      </c>
      <c r="K411" s="563">
        <v>0</v>
      </c>
      <c r="L411" s="563">
        <v>0</v>
      </c>
      <c r="M411" s="563">
        <v>0</v>
      </c>
      <c r="N411" s="563">
        <v>0</v>
      </c>
      <c r="O411" s="563">
        <v>0</v>
      </c>
      <c r="P411" s="563">
        <f t="shared" si="177"/>
        <v>0</v>
      </c>
      <c r="Q411" s="563">
        <v>0</v>
      </c>
      <c r="R411" s="564">
        <v>0</v>
      </c>
      <c r="S411" s="563">
        <v>0</v>
      </c>
    </row>
    <row r="412" spans="1:19" ht="13.5" customHeight="1">
      <c r="A412" s="561"/>
      <c r="B412" s="561"/>
      <c r="C412" s="562" t="s">
        <v>320</v>
      </c>
      <c r="D412" s="563">
        <v>13840</v>
      </c>
      <c r="E412" s="563">
        <f>G412+P412</f>
        <v>9840</v>
      </c>
      <c r="F412" s="563">
        <f>E412/D412*100</f>
        <v>71.09826589595376</v>
      </c>
      <c r="G412" s="563">
        <f>H412+K412+L412+M412+N412+O412</f>
        <v>0</v>
      </c>
      <c r="H412" s="563">
        <f>SUM(I412:J412)</f>
        <v>0</v>
      </c>
      <c r="I412" s="563">
        <v>0</v>
      </c>
      <c r="J412" s="563">
        <v>0</v>
      </c>
      <c r="K412" s="563">
        <v>0</v>
      </c>
      <c r="L412" s="563">
        <v>0</v>
      </c>
      <c r="M412" s="563">
        <v>0</v>
      </c>
      <c r="N412" s="563">
        <v>0</v>
      </c>
      <c r="O412" s="563">
        <v>0</v>
      </c>
      <c r="P412" s="563">
        <f>Q412+S412</f>
        <v>9840</v>
      </c>
      <c r="Q412" s="563">
        <v>9840</v>
      </c>
      <c r="R412" s="564">
        <v>0</v>
      </c>
      <c r="S412" s="563">
        <v>0</v>
      </c>
    </row>
    <row r="413" spans="1:19" ht="13.5" customHeight="1">
      <c r="A413" s="561"/>
      <c r="B413" s="561"/>
      <c r="C413" s="562" t="s">
        <v>326</v>
      </c>
      <c r="D413" s="563">
        <v>5000</v>
      </c>
      <c r="E413" s="563">
        <f t="shared" si="174"/>
        <v>5000</v>
      </c>
      <c r="F413" s="563">
        <f t="shared" si="166"/>
        <v>100</v>
      </c>
      <c r="G413" s="563">
        <f t="shared" si="175"/>
        <v>0</v>
      </c>
      <c r="H413" s="563">
        <f t="shared" si="176"/>
        <v>0</v>
      </c>
      <c r="I413" s="563">
        <v>0</v>
      </c>
      <c r="J413" s="563">
        <v>0</v>
      </c>
      <c r="K413" s="563">
        <v>0</v>
      </c>
      <c r="L413" s="563">
        <v>0</v>
      </c>
      <c r="M413" s="563">
        <v>0</v>
      </c>
      <c r="N413" s="563">
        <v>0</v>
      </c>
      <c r="O413" s="563">
        <v>0</v>
      </c>
      <c r="P413" s="563">
        <f t="shared" si="177"/>
        <v>5000</v>
      </c>
      <c r="Q413" s="563">
        <v>5000</v>
      </c>
      <c r="R413" s="564">
        <v>0</v>
      </c>
      <c r="S413" s="563">
        <v>0</v>
      </c>
    </row>
    <row r="414" spans="1:19" ht="13.5" customHeight="1">
      <c r="A414" s="561"/>
      <c r="B414" s="554" t="s">
        <v>361</v>
      </c>
      <c r="C414" s="554"/>
      <c r="D414" s="560">
        <f>SUM(D415:D417)</f>
        <v>57612</v>
      </c>
      <c r="E414" s="560">
        <f>SUM(E415:E417)</f>
        <v>54488.71</v>
      </c>
      <c r="F414" s="560">
        <f t="shared" si="166"/>
        <v>94.57875095466221</v>
      </c>
      <c r="G414" s="560">
        <f aca="true" t="shared" si="178" ref="G414:S414">SUM(G415:G417)</f>
        <v>54488.71</v>
      </c>
      <c r="H414" s="560">
        <f t="shared" si="178"/>
        <v>54488.71</v>
      </c>
      <c r="I414" s="560">
        <f t="shared" si="178"/>
        <v>54488.71</v>
      </c>
      <c r="J414" s="560">
        <f t="shared" si="178"/>
        <v>0</v>
      </c>
      <c r="K414" s="560">
        <f t="shared" si="178"/>
        <v>0</v>
      </c>
      <c r="L414" s="560">
        <f t="shared" si="178"/>
        <v>0</v>
      </c>
      <c r="M414" s="560">
        <f t="shared" si="178"/>
        <v>0</v>
      </c>
      <c r="N414" s="560">
        <f t="shared" si="178"/>
        <v>0</v>
      </c>
      <c r="O414" s="560">
        <f t="shared" si="178"/>
        <v>0</v>
      </c>
      <c r="P414" s="560">
        <f t="shared" si="178"/>
        <v>0</v>
      </c>
      <c r="Q414" s="560">
        <f t="shared" si="178"/>
        <v>0</v>
      </c>
      <c r="R414" s="560">
        <f t="shared" si="178"/>
        <v>0</v>
      </c>
      <c r="S414" s="560">
        <f t="shared" si="178"/>
        <v>0</v>
      </c>
    </row>
    <row r="415" spans="1:19" ht="13.5" customHeight="1">
      <c r="A415" s="561"/>
      <c r="B415" s="561"/>
      <c r="C415" s="562" t="s">
        <v>295</v>
      </c>
      <c r="D415" s="563">
        <v>47540</v>
      </c>
      <c r="E415" s="563">
        <f>G415+P415</f>
        <v>45086.67</v>
      </c>
      <c r="F415" s="563">
        <f t="shared" si="166"/>
        <v>94.83944047118216</v>
      </c>
      <c r="G415" s="563">
        <f>H415+K415+L415+M415+N415+O415</f>
        <v>45086.67</v>
      </c>
      <c r="H415" s="563">
        <f>SUM(I415:J415)</f>
        <v>45086.67</v>
      </c>
      <c r="I415" s="563">
        <v>45086.67</v>
      </c>
      <c r="J415" s="563">
        <v>0</v>
      </c>
      <c r="K415" s="563">
        <v>0</v>
      </c>
      <c r="L415" s="563">
        <v>0</v>
      </c>
      <c r="M415" s="563">
        <v>0</v>
      </c>
      <c r="N415" s="563">
        <v>0</v>
      </c>
      <c r="O415" s="563">
        <v>0</v>
      </c>
      <c r="P415" s="563">
        <f>Q415+S415</f>
        <v>0</v>
      </c>
      <c r="Q415" s="563">
        <v>0</v>
      </c>
      <c r="R415" s="564">
        <v>0</v>
      </c>
      <c r="S415" s="563">
        <v>0</v>
      </c>
    </row>
    <row r="416" spans="1:19" ht="13.5" customHeight="1">
      <c r="A416" s="561"/>
      <c r="B416" s="561"/>
      <c r="C416" s="562" t="s">
        <v>297</v>
      </c>
      <c r="D416" s="563">
        <v>8817</v>
      </c>
      <c r="E416" s="563">
        <f>G416+P416</f>
        <v>8423.63</v>
      </c>
      <c r="F416" s="563">
        <f t="shared" si="166"/>
        <v>95.53850516048541</v>
      </c>
      <c r="G416" s="563">
        <f>H416+K416+L416+M416+N416+O416</f>
        <v>8423.63</v>
      </c>
      <c r="H416" s="563">
        <f>SUM(I416:J416)</f>
        <v>8423.63</v>
      </c>
      <c r="I416" s="563">
        <v>8423.63</v>
      </c>
      <c r="J416" s="563">
        <v>0</v>
      </c>
      <c r="K416" s="563">
        <v>0</v>
      </c>
      <c r="L416" s="563">
        <v>0</v>
      </c>
      <c r="M416" s="563">
        <v>0</v>
      </c>
      <c r="N416" s="563">
        <v>0</v>
      </c>
      <c r="O416" s="563">
        <v>0</v>
      </c>
      <c r="P416" s="563">
        <f>Q416+S416</f>
        <v>0</v>
      </c>
      <c r="Q416" s="563">
        <v>0</v>
      </c>
      <c r="R416" s="564">
        <v>0</v>
      </c>
      <c r="S416" s="563">
        <v>0</v>
      </c>
    </row>
    <row r="417" spans="1:19" ht="13.5" customHeight="1">
      <c r="A417" s="561"/>
      <c r="B417" s="561"/>
      <c r="C417" s="562" t="s">
        <v>298</v>
      </c>
      <c r="D417" s="563">
        <v>1255</v>
      </c>
      <c r="E417" s="563">
        <f>G417+P417</f>
        <v>978.41</v>
      </c>
      <c r="F417" s="563">
        <f t="shared" si="166"/>
        <v>77.9609561752988</v>
      </c>
      <c r="G417" s="563">
        <f>H417+K417+L417+M417+N417+O417</f>
        <v>978.41</v>
      </c>
      <c r="H417" s="563">
        <f>SUM(I417:J417)</f>
        <v>978.41</v>
      </c>
      <c r="I417" s="563">
        <v>978.41</v>
      </c>
      <c r="J417" s="563">
        <v>0</v>
      </c>
      <c r="K417" s="563">
        <v>0</v>
      </c>
      <c r="L417" s="563">
        <v>0</v>
      </c>
      <c r="M417" s="563">
        <v>0</v>
      </c>
      <c r="N417" s="563">
        <v>0</v>
      </c>
      <c r="O417" s="563">
        <v>0</v>
      </c>
      <c r="P417" s="563">
        <f>Q417+S417</f>
        <v>0</v>
      </c>
      <c r="Q417" s="563">
        <v>0</v>
      </c>
      <c r="R417" s="564">
        <v>0</v>
      </c>
      <c r="S417" s="563">
        <v>0</v>
      </c>
    </row>
    <row r="418" spans="1:19" ht="13.5" customHeight="1">
      <c r="A418" s="561"/>
      <c r="B418" s="554" t="s">
        <v>63</v>
      </c>
      <c r="C418" s="554"/>
      <c r="D418" s="560">
        <f>SUM(D419:D436)</f>
        <v>1861594</v>
      </c>
      <c r="E418" s="560">
        <f>SUM(E419:E436)</f>
        <v>1802544.9300000002</v>
      </c>
      <c r="F418" s="560">
        <f t="shared" si="166"/>
        <v>96.82803715525513</v>
      </c>
      <c r="G418" s="560">
        <f aca="true" t="shared" si="179" ref="G418:S418">SUM(G419:G436)</f>
        <v>1798301.4300000002</v>
      </c>
      <c r="H418" s="560">
        <f t="shared" si="179"/>
        <v>1797333.07</v>
      </c>
      <c r="I418" s="560">
        <f t="shared" si="179"/>
        <v>1619439.61</v>
      </c>
      <c r="J418" s="560">
        <f t="shared" si="179"/>
        <v>177893.46</v>
      </c>
      <c r="K418" s="560">
        <f t="shared" si="179"/>
        <v>0</v>
      </c>
      <c r="L418" s="560">
        <f t="shared" si="179"/>
        <v>968.36</v>
      </c>
      <c r="M418" s="560">
        <f t="shared" si="179"/>
        <v>0</v>
      </c>
      <c r="N418" s="560">
        <f t="shared" si="179"/>
        <v>0</v>
      </c>
      <c r="O418" s="560">
        <f t="shared" si="179"/>
        <v>0</v>
      </c>
      <c r="P418" s="560">
        <f t="shared" si="179"/>
        <v>4243.5</v>
      </c>
      <c r="Q418" s="560">
        <f t="shared" si="179"/>
        <v>4243.5</v>
      </c>
      <c r="R418" s="560">
        <f t="shared" si="179"/>
        <v>0</v>
      </c>
      <c r="S418" s="560">
        <f t="shared" si="179"/>
        <v>0</v>
      </c>
    </row>
    <row r="419" spans="1:19" ht="13.5" customHeight="1">
      <c r="A419" s="561"/>
      <c r="B419" s="561"/>
      <c r="C419" s="562" t="s">
        <v>307</v>
      </c>
      <c r="D419" s="563">
        <v>1349</v>
      </c>
      <c r="E419" s="563">
        <f>G419+P419</f>
        <v>968.36</v>
      </c>
      <c r="F419" s="563">
        <f t="shared" si="166"/>
        <v>71.7835433654559</v>
      </c>
      <c r="G419" s="563">
        <f>H419+K419+L419+M419+N419+O419</f>
        <v>968.36</v>
      </c>
      <c r="H419" s="563">
        <f>SUM(I419:J419)</f>
        <v>0</v>
      </c>
      <c r="I419" s="563">
        <v>0</v>
      </c>
      <c r="J419" s="563">
        <v>0</v>
      </c>
      <c r="K419" s="563">
        <v>0</v>
      </c>
      <c r="L419" s="563">
        <v>968.36</v>
      </c>
      <c r="M419" s="563">
        <v>0</v>
      </c>
      <c r="N419" s="563">
        <v>0</v>
      </c>
      <c r="O419" s="563">
        <v>0</v>
      </c>
      <c r="P419" s="563">
        <f>Q419+S419</f>
        <v>0</v>
      </c>
      <c r="Q419" s="563">
        <v>0</v>
      </c>
      <c r="R419" s="564">
        <v>0</v>
      </c>
      <c r="S419" s="563">
        <v>0</v>
      </c>
    </row>
    <row r="420" spans="1:19" ht="13.5" customHeight="1">
      <c r="A420" s="561"/>
      <c r="B420" s="561"/>
      <c r="C420" s="562" t="s">
        <v>295</v>
      </c>
      <c r="D420" s="563">
        <v>1305134</v>
      </c>
      <c r="E420" s="563">
        <f aca="true" t="shared" si="180" ref="E420:E436">G420+P420</f>
        <v>1263251.37</v>
      </c>
      <c r="F420" s="563">
        <f t="shared" si="166"/>
        <v>96.79093257857049</v>
      </c>
      <c r="G420" s="563">
        <f aca="true" t="shared" si="181" ref="G420:G436">H420+K420+L420+M420+N420+O420</f>
        <v>1263251.37</v>
      </c>
      <c r="H420" s="563">
        <f aca="true" t="shared" si="182" ref="H420:H436">SUM(I420:J420)</f>
        <v>1263251.37</v>
      </c>
      <c r="I420" s="563">
        <v>1263251.37</v>
      </c>
      <c r="J420" s="563">
        <v>0</v>
      </c>
      <c r="K420" s="563">
        <v>0</v>
      </c>
      <c r="L420" s="563">
        <v>0</v>
      </c>
      <c r="M420" s="563">
        <v>0</v>
      </c>
      <c r="N420" s="563">
        <v>0</v>
      </c>
      <c r="O420" s="563">
        <v>0</v>
      </c>
      <c r="P420" s="563">
        <f aca="true" t="shared" si="183" ref="P420:P436">Q420+S420</f>
        <v>0</v>
      </c>
      <c r="Q420" s="563">
        <v>0</v>
      </c>
      <c r="R420" s="564">
        <v>0</v>
      </c>
      <c r="S420" s="563">
        <v>0</v>
      </c>
    </row>
    <row r="421" spans="1:19" ht="13.5" customHeight="1">
      <c r="A421" s="561"/>
      <c r="B421" s="561"/>
      <c r="C421" s="562" t="s">
        <v>296</v>
      </c>
      <c r="D421" s="563">
        <v>91986</v>
      </c>
      <c r="E421" s="563">
        <f t="shared" si="180"/>
        <v>91985.6</v>
      </c>
      <c r="F421" s="563">
        <f t="shared" si="166"/>
        <v>99.99956515121868</v>
      </c>
      <c r="G421" s="563">
        <f t="shared" si="181"/>
        <v>91985.6</v>
      </c>
      <c r="H421" s="563">
        <f t="shared" si="182"/>
        <v>91985.6</v>
      </c>
      <c r="I421" s="563">
        <v>91985.6</v>
      </c>
      <c r="J421" s="563">
        <v>0</v>
      </c>
      <c r="K421" s="563">
        <v>0</v>
      </c>
      <c r="L421" s="563">
        <v>0</v>
      </c>
      <c r="M421" s="563">
        <v>0</v>
      </c>
      <c r="N421" s="563">
        <v>0</v>
      </c>
      <c r="O421" s="563">
        <v>0</v>
      </c>
      <c r="P421" s="563">
        <f t="shared" si="183"/>
        <v>0</v>
      </c>
      <c r="Q421" s="563">
        <v>0</v>
      </c>
      <c r="R421" s="564">
        <v>0</v>
      </c>
      <c r="S421" s="563">
        <v>0</v>
      </c>
    </row>
    <row r="422" spans="1:19" ht="13.5" customHeight="1">
      <c r="A422" s="561"/>
      <c r="B422" s="561"/>
      <c r="C422" s="562" t="s">
        <v>297</v>
      </c>
      <c r="D422" s="563">
        <v>235796</v>
      </c>
      <c r="E422" s="563">
        <f t="shared" si="180"/>
        <v>232081.25</v>
      </c>
      <c r="F422" s="563">
        <f t="shared" si="166"/>
        <v>98.42459159612547</v>
      </c>
      <c r="G422" s="563">
        <f t="shared" si="181"/>
        <v>232081.25</v>
      </c>
      <c r="H422" s="563">
        <f t="shared" si="182"/>
        <v>232081.25</v>
      </c>
      <c r="I422" s="563">
        <v>232081.25</v>
      </c>
      <c r="J422" s="563">
        <v>0</v>
      </c>
      <c r="K422" s="563">
        <v>0</v>
      </c>
      <c r="L422" s="563">
        <v>0</v>
      </c>
      <c r="M422" s="563">
        <v>0</v>
      </c>
      <c r="N422" s="563">
        <v>0</v>
      </c>
      <c r="O422" s="563">
        <v>0</v>
      </c>
      <c r="P422" s="563">
        <f t="shared" si="183"/>
        <v>0</v>
      </c>
      <c r="Q422" s="563">
        <v>0</v>
      </c>
      <c r="R422" s="564">
        <v>0</v>
      </c>
      <c r="S422" s="563">
        <v>0</v>
      </c>
    </row>
    <row r="423" spans="1:19" ht="13.5" customHeight="1">
      <c r="A423" s="561"/>
      <c r="B423" s="561"/>
      <c r="C423" s="562" t="s">
        <v>298</v>
      </c>
      <c r="D423" s="563">
        <v>33384</v>
      </c>
      <c r="E423" s="563">
        <f t="shared" si="180"/>
        <v>26495.16</v>
      </c>
      <c r="F423" s="563">
        <f t="shared" si="166"/>
        <v>79.36484543493889</v>
      </c>
      <c r="G423" s="563">
        <f t="shared" si="181"/>
        <v>26495.16</v>
      </c>
      <c r="H423" s="563">
        <f t="shared" si="182"/>
        <v>26495.16</v>
      </c>
      <c r="I423" s="563">
        <v>26495.16</v>
      </c>
      <c r="J423" s="563">
        <v>0</v>
      </c>
      <c r="K423" s="563">
        <v>0</v>
      </c>
      <c r="L423" s="563">
        <v>0</v>
      </c>
      <c r="M423" s="563">
        <v>0</v>
      </c>
      <c r="N423" s="563">
        <v>0</v>
      </c>
      <c r="O423" s="563">
        <v>0</v>
      </c>
      <c r="P423" s="563">
        <f t="shared" si="183"/>
        <v>0</v>
      </c>
      <c r="Q423" s="563">
        <v>0</v>
      </c>
      <c r="R423" s="564">
        <v>0</v>
      </c>
      <c r="S423" s="563">
        <v>0</v>
      </c>
    </row>
    <row r="424" spans="1:19" ht="13.5" customHeight="1">
      <c r="A424" s="561"/>
      <c r="B424" s="561"/>
      <c r="C424" s="562" t="s">
        <v>305</v>
      </c>
      <c r="D424" s="563">
        <v>6000</v>
      </c>
      <c r="E424" s="563">
        <f t="shared" si="180"/>
        <v>5626.23</v>
      </c>
      <c r="F424" s="563">
        <f t="shared" si="166"/>
        <v>93.77049999999998</v>
      </c>
      <c r="G424" s="563">
        <f t="shared" si="181"/>
        <v>5626.23</v>
      </c>
      <c r="H424" s="563">
        <f t="shared" si="182"/>
        <v>5626.23</v>
      </c>
      <c r="I424" s="563">
        <v>5626.23</v>
      </c>
      <c r="J424" s="563">
        <v>0</v>
      </c>
      <c r="K424" s="563">
        <v>0</v>
      </c>
      <c r="L424" s="563">
        <v>0</v>
      </c>
      <c r="M424" s="563">
        <v>0</v>
      </c>
      <c r="N424" s="563">
        <v>0</v>
      </c>
      <c r="O424" s="563">
        <v>0</v>
      </c>
      <c r="P424" s="563">
        <f t="shared" si="183"/>
        <v>0</v>
      </c>
      <c r="Q424" s="563">
        <v>0</v>
      </c>
      <c r="R424" s="564">
        <v>0</v>
      </c>
      <c r="S424" s="563">
        <v>0</v>
      </c>
    </row>
    <row r="425" spans="1:19" ht="13.5" customHeight="1">
      <c r="A425" s="561"/>
      <c r="B425" s="561"/>
      <c r="C425" s="562" t="s">
        <v>123</v>
      </c>
      <c r="D425" s="563">
        <v>15525</v>
      </c>
      <c r="E425" s="563">
        <f t="shared" si="180"/>
        <v>15507.18</v>
      </c>
      <c r="F425" s="563">
        <f t="shared" si="166"/>
        <v>99.88521739130435</v>
      </c>
      <c r="G425" s="563">
        <f t="shared" si="181"/>
        <v>15507.18</v>
      </c>
      <c r="H425" s="563">
        <f t="shared" si="182"/>
        <v>15507.18</v>
      </c>
      <c r="I425" s="563">
        <v>0</v>
      </c>
      <c r="J425" s="563">
        <v>15507.18</v>
      </c>
      <c r="K425" s="563">
        <v>0</v>
      </c>
      <c r="L425" s="563">
        <v>0</v>
      </c>
      <c r="M425" s="563">
        <v>0</v>
      </c>
      <c r="N425" s="563">
        <v>0</v>
      </c>
      <c r="O425" s="563">
        <v>0</v>
      </c>
      <c r="P425" s="563">
        <f t="shared" si="183"/>
        <v>0</v>
      </c>
      <c r="Q425" s="563">
        <v>0</v>
      </c>
      <c r="R425" s="564">
        <v>0</v>
      </c>
      <c r="S425" s="563">
        <v>0</v>
      </c>
    </row>
    <row r="426" spans="1:19" ht="13.5" customHeight="1">
      <c r="A426" s="561"/>
      <c r="B426" s="561"/>
      <c r="C426" s="562" t="s">
        <v>331</v>
      </c>
      <c r="D426" s="563">
        <v>4716</v>
      </c>
      <c r="E426" s="563">
        <f t="shared" si="180"/>
        <v>4663.85</v>
      </c>
      <c r="F426" s="563">
        <f t="shared" si="166"/>
        <v>98.89418999151825</v>
      </c>
      <c r="G426" s="563">
        <f t="shared" si="181"/>
        <v>4663.85</v>
      </c>
      <c r="H426" s="563">
        <f t="shared" si="182"/>
        <v>4663.85</v>
      </c>
      <c r="I426" s="563">
        <v>0</v>
      </c>
      <c r="J426" s="563">
        <v>4663.85</v>
      </c>
      <c r="K426" s="563">
        <v>0</v>
      </c>
      <c r="L426" s="563">
        <v>0</v>
      </c>
      <c r="M426" s="563">
        <v>0</v>
      </c>
      <c r="N426" s="563">
        <v>0</v>
      </c>
      <c r="O426" s="563">
        <v>0</v>
      </c>
      <c r="P426" s="563">
        <f t="shared" si="183"/>
        <v>0</v>
      </c>
      <c r="Q426" s="563">
        <v>0</v>
      </c>
      <c r="R426" s="564">
        <v>0</v>
      </c>
      <c r="S426" s="563">
        <v>0</v>
      </c>
    </row>
    <row r="427" spans="1:19" ht="13.5" customHeight="1">
      <c r="A427" s="561"/>
      <c r="B427" s="561"/>
      <c r="C427" s="562" t="s">
        <v>315</v>
      </c>
      <c r="D427" s="563">
        <v>31877</v>
      </c>
      <c r="E427" s="563">
        <f t="shared" si="180"/>
        <v>30432.47</v>
      </c>
      <c r="F427" s="563">
        <f t="shared" si="166"/>
        <v>95.4684255105562</v>
      </c>
      <c r="G427" s="563">
        <f t="shared" si="181"/>
        <v>30432.47</v>
      </c>
      <c r="H427" s="563">
        <f t="shared" si="182"/>
        <v>30432.47</v>
      </c>
      <c r="I427" s="563">
        <v>0</v>
      </c>
      <c r="J427" s="563">
        <v>30432.47</v>
      </c>
      <c r="K427" s="563">
        <v>0</v>
      </c>
      <c r="L427" s="563">
        <v>0</v>
      </c>
      <c r="M427" s="563">
        <v>0</v>
      </c>
      <c r="N427" s="563">
        <v>0</v>
      </c>
      <c r="O427" s="563">
        <v>0</v>
      </c>
      <c r="P427" s="563">
        <f t="shared" si="183"/>
        <v>0</v>
      </c>
      <c r="Q427" s="563">
        <v>0</v>
      </c>
      <c r="R427" s="564">
        <v>0</v>
      </c>
      <c r="S427" s="563">
        <v>0</v>
      </c>
    </row>
    <row r="428" spans="1:19" ht="13.5" customHeight="1">
      <c r="A428" s="561"/>
      <c r="B428" s="561"/>
      <c r="C428" s="562" t="s">
        <v>124</v>
      </c>
      <c r="D428" s="563">
        <v>6270</v>
      </c>
      <c r="E428" s="563">
        <f t="shared" si="180"/>
        <v>6261.99</v>
      </c>
      <c r="F428" s="563">
        <f t="shared" si="166"/>
        <v>99.87224880382774</v>
      </c>
      <c r="G428" s="563">
        <f t="shared" si="181"/>
        <v>6261.99</v>
      </c>
      <c r="H428" s="563">
        <f t="shared" si="182"/>
        <v>6261.99</v>
      </c>
      <c r="I428" s="563">
        <v>0</v>
      </c>
      <c r="J428" s="563">
        <v>6261.99</v>
      </c>
      <c r="K428" s="563">
        <v>0</v>
      </c>
      <c r="L428" s="563">
        <v>0</v>
      </c>
      <c r="M428" s="563">
        <v>0</v>
      </c>
      <c r="N428" s="563">
        <v>0</v>
      </c>
      <c r="O428" s="563">
        <v>0</v>
      </c>
      <c r="P428" s="563">
        <f t="shared" si="183"/>
        <v>0</v>
      </c>
      <c r="Q428" s="563">
        <v>0</v>
      </c>
      <c r="R428" s="564">
        <v>0</v>
      </c>
      <c r="S428" s="563">
        <v>0</v>
      </c>
    </row>
    <row r="429" spans="1:19" ht="13.5" customHeight="1">
      <c r="A429" s="561"/>
      <c r="B429" s="561"/>
      <c r="C429" s="562" t="s">
        <v>306</v>
      </c>
      <c r="D429" s="563">
        <v>2001</v>
      </c>
      <c r="E429" s="563">
        <f t="shared" si="180"/>
        <v>1945</v>
      </c>
      <c r="F429" s="563">
        <f t="shared" si="166"/>
        <v>97.20139930034982</v>
      </c>
      <c r="G429" s="563">
        <f t="shared" si="181"/>
        <v>1945</v>
      </c>
      <c r="H429" s="563">
        <f t="shared" si="182"/>
        <v>1945</v>
      </c>
      <c r="I429" s="563">
        <v>0</v>
      </c>
      <c r="J429" s="563">
        <v>1945</v>
      </c>
      <c r="K429" s="563">
        <v>0</v>
      </c>
      <c r="L429" s="563">
        <v>0</v>
      </c>
      <c r="M429" s="563">
        <v>0</v>
      </c>
      <c r="N429" s="563">
        <v>0</v>
      </c>
      <c r="O429" s="563">
        <v>0</v>
      </c>
      <c r="P429" s="563">
        <f t="shared" si="183"/>
        <v>0</v>
      </c>
      <c r="Q429" s="563">
        <v>0</v>
      </c>
      <c r="R429" s="564">
        <v>0</v>
      </c>
      <c r="S429" s="563">
        <v>0</v>
      </c>
    </row>
    <row r="430" spans="1:19" ht="13.5" customHeight="1">
      <c r="A430" s="561"/>
      <c r="B430" s="561"/>
      <c r="C430" s="562" t="s">
        <v>125</v>
      </c>
      <c r="D430" s="563">
        <v>27767</v>
      </c>
      <c r="E430" s="563">
        <f t="shared" si="180"/>
        <v>27710.7</v>
      </c>
      <c r="F430" s="563">
        <f t="shared" si="166"/>
        <v>99.7972413296359</v>
      </c>
      <c r="G430" s="563">
        <f t="shared" si="181"/>
        <v>27710.7</v>
      </c>
      <c r="H430" s="563">
        <f t="shared" si="182"/>
        <v>27710.7</v>
      </c>
      <c r="I430" s="563">
        <v>0</v>
      </c>
      <c r="J430" s="563">
        <v>27710.7</v>
      </c>
      <c r="K430" s="563">
        <v>0</v>
      </c>
      <c r="L430" s="563">
        <v>0</v>
      </c>
      <c r="M430" s="563">
        <v>0</v>
      </c>
      <c r="N430" s="563">
        <v>0</v>
      </c>
      <c r="O430" s="563">
        <v>0</v>
      </c>
      <c r="P430" s="563">
        <f t="shared" si="183"/>
        <v>0</v>
      </c>
      <c r="Q430" s="563">
        <v>0</v>
      </c>
      <c r="R430" s="564">
        <v>0</v>
      </c>
      <c r="S430" s="563">
        <v>0</v>
      </c>
    </row>
    <row r="431" spans="1:19" ht="13.5" customHeight="1">
      <c r="A431" s="561"/>
      <c r="B431" s="561"/>
      <c r="C431" s="562" t="s">
        <v>300</v>
      </c>
      <c r="D431" s="563">
        <v>7643</v>
      </c>
      <c r="E431" s="563">
        <f>G431+P431</f>
        <v>7210.79</v>
      </c>
      <c r="F431" s="563">
        <f>E431/D431*100</f>
        <v>94.34502158838153</v>
      </c>
      <c r="G431" s="563">
        <f>H431+K431+L431+M431+N431+O431</f>
        <v>7210.79</v>
      </c>
      <c r="H431" s="563">
        <f>SUM(I431:J431)</f>
        <v>7210.79</v>
      </c>
      <c r="I431" s="563">
        <v>0</v>
      </c>
      <c r="J431" s="563">
        <v>7210.79</v>
      </c>
      <c r="K431" s="563">
        <v>0</v>
      </c>
      <c r="L431" s="563">
        <v>0</v>
      </c>
      <c r="M431" s="563">
        <v>0</v>
      </c>
      <c r="N431" s="563">
        <v>0</v>
      </c>
      <c r="O431" s="563">
        <v>0</v>
      </c>
      <c r="P431" s="563">
        <f>Q431+S431</f>
        <v>0</v>
      </c>
      <c r="Q431" s="563">
        <v>0</v>
      </c>
      <c r="R431" s="564">
        <v>0</v>
      </c>
      <c r="S431" s="563">
        <v>0</v>
      </c>
    </row>
    <row r="432" spans="1:19" ht="13.5" customHeight="1">
      <c r="A432" s="561"/>
      <c r="B432" s="561"/>
      <c r="C432" s="562" t="s">
        <v>302</v>
      </c>
      <c r="D432" s="563">
        <v>6796</v>
      </c>
      <c r="E432" s="563">
        <f t="shared" si="180"/>
        <v>6721.9</v>
      </c>
      <c r="F432" s="563">
        <f t="shared" si="166"/>
        <v>98.90965273690405</v>
      </c>
      <c r="G432" s="563">
        <f t="shared" si="181"/>
        <v>6721.9</v>
      </c>
      <c r="H432" s="563">
        <f t="shared" si="182"/>
        <v>6721.9</v>
      </c>
      <c r="I432" s="563">
        <v>0</v>
      </c>
      <c r="J432" s="563">
        <v>6721.9</v>
      </c>
      <c r="K432" s="563">
        <v>0</v>
      </c>
      <c r="L432" s="563">
        <v>0</v>
      </c>
      <c r="M432" s="563">
        <v>0</v>
      </c>
      <c r="N432" s="563">
        <v>0</v>
      </c>
      <c r="O432" s="563">
        <v>0</v>
      </c>
      <c r="P432" s="563">
        <f t="shared" si="183"/>
        <v>0</v>
      </c>
      <c r="Q432" s="563">
        <v>0</v>
      </c>
      <c r="R432" s="564">
        <v>0</v>
      </c>
      <c r="S432" s="563">
        <v>0</v>
      </c>
    </row>
    <row r="433" spans="1:19" ht="13.5" customHeight="1">
      <c r="A433" s="561"/>
      <c r="B433" s="561"/>
      <c r="C433" s="562" t="s">
        <v>303</v>
      </c>
      <c r="D433" s="563">
        <v>3470</v>
      </c>
      <c r="E433" s="563">
        <f t="shared" si="180"/>
        <v>3417.6</v>
      </c>
      <c r="F433" s="563">
        <f t="shared" si="166"/>
        <v>98.48991354466858</v>
      </c>
      <c r="G433" s="563">
        <f t="shared" si="181"/>
        <v>3417.6</v>
      </c>
      <c r="H433" s="563">
        <f t="shared" si="182"/>
        <v>3417.6</v>
      </c>
      <c r="I433" s="563">
        <v>0</v>
      </c>
      <c r="J433" s="563">
        <v>3417.6</v>
      </c>
      <c r="K433" s="563">
        <v>0</v>
      </c>
      <c r="L433" s="563">
        <v>0</v>
      </c>
      <c r="M433" s="563">
        <v>0</v>
      </c>
      <c r="N433" s="563">
        <v>0</v>
      </c>
      <c r="O433" s="563">
        <v>0</v>
      </c>
      <c r="P433" s="563">
        <f t="shared" si="183"/>
        <v>0</v>
      </c>
      <c r="Q433" s="563">
        <v>0</v>
      </c>
      <c r="R433" s="564">
        <v>0</v>
      </c>
      <c r="S433" s="563">
        <v>0</v>
      </c>
    </row>
    <row r="434" spans="1:19" ht="13.5" customHeight="1">
      <c r="A434" s="561"/>
      <c r="B434" s="561"/>
      <c r="C434" s="562" t="s">
        <v>304</v>
      </c>
      <c r="D434" s="563">
        <v>74473</v>
      </c>
      <c r="E434" s="563">
        <f t="shared" si="180"/>
        <v>71231.98</v>
      </c>
      <c r="F434" s="563">
        <f t="shared" si="166"/>
        <v>95.64806037087266</v>
      </c>
      <c r="G434" s="563">
        <f t="shared" si="181"/>
        <v>71231.98</v>
      </c>
      <c r="H434" s="563">
        <f t="shared" si="182"/>
        <v>71231.98</v>
      </c>
      <c r="I434" s="563">
        <v>0</v>
      </c>
      <c r="J434" s="563">
        <v>71231.98</v>
      </c>
      <c r="K434" s="563">
        <v>0</v>
      </c>
      <c r="L434" s="563">
        <v>0</v>
      </c>
      <c r="M434" s="563">
        <v>0</v>
      </c>
      <c r="N434" s="563">
        <v>0</v>
      </c>
      <c r="O434" s="563">
        <v>0</v>
      </c>
      <c r="P434" s="563">
        <f t="shared" si="183"/>
        <v>0</v>
      </c>
      <c r="Q434" s="563">
        <v>0</v>
      </c>
      <c r="R434" s="564">
        <v>0</v>
      </c>
      <c r="S434" s="563">
        <v>0</v>
      </c>
    </row>
    <row r="435" spans="1:19" ht="13.5" customHeight="1">
      <c r="A435" s="561"/>
      <c r="B435" s="561"/>
      <c r="C435" s="562" t="s">
        <v>145</v>
      </c>
      <c r="D435" s="563">
        <v>2907</v>
      </c>
      <c r="E435" s="563">
        <f>G435+P435</f>
        <v>2790</v>
      </c>
      <c r="F435" s="563">
        <f>E435/D435*100</f>
        <v>95.97523219814241</v>
      </c>
      <c r="G435" s="563">
        <f>H435+K435+L435+M435+N435+O435</f>
        <v>2790</v>
      </c>
      <c r="H435" s="563">
        <f>SUM(I435:J435)</f>
        <v>2790</v>
      </c>
      <c r="I435" s="563">
        <v>0</v>
      </c>
      <c r="J435" s="563">
        <v>2790</v>
      </c>
      <c r="K435" s="563">
        <v>0</v>
      </c>
      <c r="L435" s="563">
        <v>0</v>
      </c>
      <c r="M435" s="563">
        <v>0</v>
      </c>
      <c r="N435" s="563">
        <v>0</v>
      </c>
      <c r="O435" s="563">
        <v>0</v>
      </c>
      <c r="P435" s="563">
        <f>Q435+S435</f>
        <v>0</v>
      </c>
      <c r="Q435" s="563">
        <v>0</v>
      </c>
      <c r="R435" s="564">
        <v>0</v>
      </c>
      <c r="S435" s="563">
        <v>0</v>
      </c>
    </row>
    <row r="436" spans="1:19" ht="13.5" customHeight="1">
      <c r="A436" s="561"/>
      <c r="B436" s="561"/>
      <c r="C436" s="562" t="s">
        <v>326</v>
      </c>
      <c r="D436" s="563">
        <v>4500</v>
      </c>
      <c r="E436" s="563">
        <f t="shared" si="180"/>
        <v>4243.5</v>
      </c>
      <c r="F436" s="563">
        <f t="shared" si="166"/>
        <v>94.3</v>
      </c>
      <c r="G436" s="563">
        <f t="shared" si="181"/>
        <v>0</v>
      </c>
      <c r="H436" s="563">
        <f t="shared" si="182"/>
        <v>0</v>
      </c>
      <c r="I436" s="563">
        <v>0</v>
      </c>
      <c r="J436" s="563">
        <v>0</v>
      </c>
      <c r="K436" s="563">
        <v>0</v>
      </c>
      <c r="L436" s="563">
        <v>0</v>
      </c>
      <c r="M436" s="563">
        <v>0</v>
      </c>
      <c r="N436" s="563">
        <v>0</v>
      </c>
      <c r="O436" s="563">
        <v>0</v>
      </c>
      <c r="P436" s="563">
        <f t="shared" si="183"/>
        <v>4243.5</v>
      </c>
      <c r="Q436" s="563">
        <v>4243.5</v>
      </c>
      <c r="R436" s="564">
        <v>0</v>
      </c>
      <c r="S436" s="563">
        <v>0</v>
      </c>
    </row>
    <row r="437" spans="1:19" ht="13.5" customHeight="1">
      <c r="A437" s="561"/>
      <c r="B437" s="554" t="s">
        <v>64</v>
      </c>
      <c r="C437" s="554"/>
      <c r="D437" s="560">
        <f>SUM(D438:D452)</f>
        <v>392783</v>
      </c>
      <c r="E437" s="560">
        <f>SUM(E438:E452)</f>
        <v>389443.11</v>
      </c>
      <c r="F437" s="560">
        <f t="shared" si="166"/>
        <v>99.14968570432019</v>
      </c>
      <c r="G437" s="560">
        <f aca="true" t="shared" si="184" ref="G437:S437">SUM(G438:G452)</f>
        <v>389443.11</v>
      </c>
      <c r="H437" s="560">
        <f t="shared" si="184"/>
        <v>380265.02999999997</v>
      </c>
      <c r="I437" s="560">
        <f t="shared" si="184"/>
        <v>246434.47</v>
      </c>
      <c r="J437" s="560">
        <f t="shared" si="184"/>
        <v>133830.55999999997</v>
      </c>
      <c r="K437" s="560">
        <f t="shared" si="184"/>
        <v>0</v>
      </c>
      <c r="L437" s="560">
        <f t="shared" si="184"/>
        <v>9178.08</v>
      </c>
      <c r="M437" s="560">
        <f t="shared" si="184"/>
        <v>0</v>
      </c>
      <c r="N437" s="560">
        <f t="shared" si="184"/>
        <v>0</v>
      </c>
      <c r="O437" s="560">
        <f t="shared" si="184"/>
        <v>0</v>
      </c>
      <c r="P437" s="560">
        <f t="shared" si="184"/>
        <v>0</v>
      </c>
      <c r="Q437" s="560">
        <f t="shared" si="184"/>
        <v>0</v>
      </c>
      <c r="R437" s="560">
        <f t="shared" si="184"/>
        <v>0</v>
      </c>
      <c r="S437" s="560">
        <f t="shared" si="184"/>
        <v>0</v>
      </c>
    </row>
    <row r="438" spans="1:19" ht="13.5" customHeight="1">
      <c r="A438" s="561"/>
      <c r="B438" s="561"/>
      <c r="C438" s="562" t="s">
        <v>307</v>
      </c>
      <c r="D438" s="563">
        <v>9323</v>
      </c>
      <c r="E438" s="563">
        <f aca="true" t="shared" si="185" ref="E438:E450">G438+P438</f>
        <v>9178.08</v>
      </c>
      <c r="F438" s="563">
        <f t="shared" si="166"/>
        <v>98.44556473238228</v>
      </c>
      <c r="G438" s="563">
        <f aca="true" t="shared" si="186" ref="G438:G450">H438+K438+L438+M438+N438+O438</f>
        <v>9178.08</v>
      </c>
      <c r="H438" s="563">
        <f aca="true" t="shared" si="187" ref="H438:H450">SUM(I438:J438)</f>
        <v>0</v>
      </c>
      <c r="I438" s="563">
        <v>0</v>
      </c>
      <c r="J438" s="563">
        <v>0</v>
      </c>
      <c r="K438" s="563">
        <v>0</v>
      </c>
      <c r="L438" s="563">
        <v>9178.08</v>
      </c>
      <c r="M438" s="563">
        <v>0</v>
      </c>
      <c r="N438" s="563">
        <v>0</v>
      </c>
      <c r="O438" s="563">
        <v>0</v>
      </c>
      <c r="P438" s="563">
        <f aca="true" t="shared" si="188" ref="P438:P450">Q438+S438</f>
        <v>0</v>
      </c>
      <c r="Q438" s="563">
        <v>0</v>
      </c>
      <c r="R438" s="564">
        <v>0</v>
      </c>
      <c r="S438" s="563">
        <v>0</v>
      </c>
    </row>
    <row r="439" spans="1:19" ht="13.5" customHeight="1">
      <c r="A439" s="561"/>
      <c r="B439" s="561"/>
      <c r="C439" s="562" t="s">
        <v>295</v>
      </c>
      <c r="D439" s="563">
        <v>198856</v>
      </c>
      <c r="E439" s="563">
        <f t="shared" si="185"/>
        <v>198855.93</v>
      </c>
      <c r="F439" s="563">
        <f t="shared" si="166"/>
        <v>99.99996479864826</v>
      </c>
      <c r="G439" s="563">
        <f t="shared" si="186"/>
        <v>198855.93</v>
      </c>
      <c r="H439" s="563">
        <f t="shared" si="187"/>
        <v>198855.93</v>
      </c>
      <c r="I439" s="563">
        <v>198855.93</v>
      </c>
      <c r="J439" s="563">
        <v>0</v>
      </c>
      <c r="K439" s="563">
        <v>0</v>
      </c>
      <c r="L439" s="563">
        <v>0</v>
      </c>
      <c r="M439" s="563">
        <v>0</v>
      </c>
      <c r="N439" s="563">
        <v>0</v>
      </c>
      <c r="O439" s="563">
        <v>0</v>
      </c>
      <c r="P439" s="563">
        <f t="shared" si="188"/>
        <v>0</v>
      </c>
      <c r="Q439" s="563">
        <v>0</v>
      </c>
      <c r="R439" s="564">
        <v>0</v>
      </c>
      <c r="S439" s="563">
        <v>0</v>
      </c>
    </row>
    <row r="440" spans="1:19" ht="13.5" customHeight="1">
      <c r="A440" s="561"/>
      <c r="B440" s="561"/>
      <c r="C440" s="562" t="s">
        <v>296</v>
      </c>
      <c r="D440" s="563">
        <v>13483</v>
      </c>
      <c r="E440" s="563">
        <f t="shared" si="185"/>
        <v>13483.18</v>
      </c>
      <c r="F440" s="563">
        <f t="shared" si="166"/>
        <v>100.00133501446267</v>
      </c>
      <c r="G440" s="563">
        <f t="shared" si="186"/>
        <v>13483.18</v>
      </c>
      <c r="H440" s="563">
        <f t="shared" si="187"/>
        <v>13483.18</v>
      </c>
      <c r="I440" s="563">
        <v>13483.18</v>
      </c>
      <c r="J440" s="563">
        <v>0</v>
      </c>
      <c r="K440" s="563">
        <v>0</v>
      </c>
      <c r="L440" s="563">
        <v>0</v>
      </c>
      <c r="M440" s="563">
        <v>0</v>
      </c>
      <c r="N440" s="563">
        <v>0</v>
      </c>
      <c r="O440" s="563">
        <v>0</v>
      </c>
      <c r="P440" s="563">
        <f t="shared" si="188"/>
        <v>0</v>
      </c>
      <c r="Q440" s="563">
        <v>0</v>
      </c>
      <c r="R440" s="564">
        <v>0</v>
      </c>
      <c r="S440" s="563">
        <v>0</v>
      </c>
    </row>
    <row r="441" spans="1:19" ht="13.5" customHeight="1">
      <c r="A441" s="561"/>
      <c r="B441" s="561"/>
      <c r="C441" s="562" t="s">
        <v>297</v>
      </c>
      <c r="D441" s="563">
        <v>31997</v>
      </c>
      <c r="E441" s="563">
        <f t="shared" si="185"/>
        <v>29975.22</v>
      </c>
      <c r="F441" s="563">
        <f t="shared" si="166"/>
        <v>93.68134512610557</v>
      </c>
      <c r="G441" s="563">
        <f t="shared" si="186"/>
        <v>29975.22</v>
      </c>
      <c r="H441" s="563">
        <f t="shared" si="187"/>
        <v>29975.22</v>
      </c>
      <c r="I441" s="563">
        <v>29975.22</v>
      </c>
      <c r="J441" s="563">
        <v>0</v>
      </c>
      <c r="K441" s="563">
        <v>0</v>
      </c>
      <c r="L441" s="563">
        <v>0</v>
      </c>
      <c r="M441" s="563">
        <v>0</v>
      </c>
      <c r="N441" s="563">
        <v>0</v>
      </c>
      <c r="O441" s="563">
        <v>0</v>
      </c>
      <c r="P441" s="563">
        <f t="shared" si="188"/>
        <v>0</v>
      </c>
      <c r="Q441" s="563">
        <v>0</v>
      </c>
      <c r="R441" s="564">
        <v>0</v>
      </c>
      <c r="S441" s="563">
        <v>0</v>
      </c>
    </row>
    <row r="442" spans="1:19" ht="13.5" customHeight="1">
      <c r="A442" s="561"/>
      <c r="B442" s="561"/>
      <c r="C442" s="562" t="s">
        <v>298</v>
      </c>
      <c r="D442" s="563">
        <v>5293</v>
      </c>
      <c r="E442" s="563">
        <f t="shared" si="185"/>
        <v>4120.14</v>
      </c>
      <c r="F442" s="563">
        <f t="shared" si="166"/>
        <v>77.8412998299641</v>
      </c>
      <c r="G442" s="563">
        <f t="shared" si="186"/>
        <v>4120.14</v>
      </c>
      <c r="H442" s="563">
        <f t="shared" si="187"/>
        <v>4120.14</v>
      </c>
      <c r="I442" s="563">
        <v>4120.14</v>
      </c>
      <c r="J442" s="563">
        <v>0</v>
      </c>
      <c r="K442" s="563">
        <v>0</v>
      </c>
      <c r="L442" s="563">
        <v>0</v>
      </c>
      <c r="M442" s="563">
        <v>0</v>
      </c>
      <c r="N442" s="563">
        <v>0</v>
      </c>
      <c r="O442" s="563">
        <v>0</v>
      </c>
      <c r="P442" s="563">
        <f t="shared" si="188"/>
        <v>0</v>
      </c>
      <c r="Q442" s="563">
        <v>0</v>
      </c>
      <c r="R442" s="564">
        <v>0</v>
      </c>
      <c r="S442" s="563">
        <v>0</v>
      </c>
    </row>
    <row r="443" spans="1:19" ht="13.5" customHeight="1">
      <c r="A443" s="561"/>
      <c r="B443" s="561"/>
      <c r="C443" s="562" t="s">
        <v>123</v>
      </c>
      <c r="D443" s="563">
        <v>13475</v>
      </c>
      <c r="E443" s="563">
        <f t="shared" si="185"/>
        <v>13475</v>
      </c>
      <c r="F443" s="563">
        <f t="shared" si="166"/>
        <v>100</v>
      </c>
      <c r="G443" s="563">
        <f t="shared" si="186"/>
        <v>13475</v>
      </c>
      <c r="H443" s="563">
        <f t="shared" si="187"/>
        <v>13475</v>
      </c>
      <c r="I443" s="563">
        <v>0</v>
      </c>
      <c r="J443" s="563">
        <v>13475</v>
      </c>
      <c r="K443" s="563">
        <v>0</v>
      </c>
      <c r="L443" s="563">
        <v>0</v>
      </c>
      <c r="M443" s="563">
        <v>0</v>
      </c>
      <c r="N443" s="563">
        <v>0</v>
      </c>
      <c r="O443" s="563">
        <v>0</v>
      </c>
      <c r="P443" s="563">
        <f t="shared" si="188"/>
        <v>0</v>
      </c>
      <c r="Q443" s="563">
        <v>0</v>
      </c>
      <c r="R443" s="564">
        <v>0</v>
      </c>
      <c r="S443" s="563">
        <v>0</v>
      </c>
    </row>
    <row r="444" spans="1:19" ht="13.5" customHeight="1">
      <c r="A444" s="561"/>
      <c r="B444" s="561"/>
      <c r="C444" s="562" t="s">
        <v>315</v>
      </c>
      <c r="D444" s="563">
        <v>67300</v>
      </c>
      <c r="E444" s="563">
        <f t="shared" si="185"/>
        <v>67300</v>
      </c>
      <c r="F444" s="563">
        <f t="shared" si="166"/>
        <v>100</v>
      </c>
      <c r="G444" s="563">
        <f t="shared" si="186"/>
        <v>67300</v>
      </c>
      <c r="H444" s="563">
        <f t="shared" si="187"/>
        <v>67300</v>
      </c>
      <c r="I444" s="563">
        <v>0</v>
      </c>
      <c r="J444" s="563">
        <v>67300</v>
      </c>
      <c r="K444" s="563">
        <v>0</v>
      </c>
      <c r="L444" s="563">
        <v>0</v>
      </c>
      <c r="M444" s="563">
        <v>0</v>
      </c>
      <c r="N444" s="563">
        <v>0</v>
      </c>
      <c r="O444" s="563">
        <v>0</v>
      </c>
      <c r="P444" s="563">
        <f t="shared" si="188"/>
        <v>0</v>
      </c>
      <c r="Q444" s="563">
        <v>0</v>
      </c>
      <c r="R444" s="564">
        <v>0</v>
      </c>
      <c r="S444" s="563">
        <v>0</v>
      </c>
    </row>
    <row r="445" spans="1:19" ht="13.5" customHeight="1">
      <c r="A445" s="561"/>
      <c r="B445" s="561"/>
      <c r="C445" s="562" t="s">
        <v>124</v>
      </c>
      <c r="D445" s="563">
        <v>10000</v>
      </c>
      <c r="E445" s="563">
        <f>G445+P445</f>
        <v>10000</v>
      </c>
      <c r="F445" s="563">
        <f>E445/D445*100</f>
        <v>100</v>
      </c>
      <c r="G445" s="563">
        <f>H445+K445+L445+M445+N445+O445</f>
        <v>10000</v>
      </c>
      <c r="H445" s="563">
        <f>SUM(I445:J445)</f>
        <v>10000</v>
      </c>
      <c r="I445" s="563">
        <v>0</v>
      </c>
      <c r="J445" s="563">
        <v>10000</v>
      </c>
      <c r="K445" s="563">
        <v>0</v>
      </c>
      <c r="L445" s="563">
        <v>0</v>
      </c>
      <c r="M445" s="563">
        <v>0</v>
      </c>
      <c r="N445" s="563">
        <v>0</v>
      </c>
      <c r="O445" s="563">
        <v>0</v>
      </c>
      <c r="P445" s="563">
        <f>Q445+S445</f>
        <v>0</v>
      </c>
      <c r="Q445" s="563">
        <v>0</v>
      </c>
      <c r="R445" s="564">
        <v>0</v>
      </c>
      <c r="S445" s="563">
        <v>0</v>
      </c>
    </row>
    <row r="446" spans="1:19" ht="13.5" customHeight="1">
      <c r="A446" s="561"/>
      <c r="B446" s="561"/>
      <c r="C446" s="562" t="s">
        <v>306</v>
      </c>
      <c r="D446" s="563">
        <v>410</v>
      </c>
      <c r="E446" s="563">
        <f t="shared" si="185"/>
        <v>410</v>
      </c>
      <c r="F446" s="563">
        <f t="shared" si="166"/>
        <v>100</v>
      </c>
      <c r="G446" s="563">
        <f t="shared" si="186"/>
        <v>410</v>
      </c>
      <c r="H446" s="563">
        <f t="shared" si="187"/>
        <v>410</v>
      </c>
      <c r="I446" s="563">
        <v>0</v>
      </c>
      <c r="J446" s="563">
        <v>410</v>
      </c>
      <c r="K446" s="563">
        <v>0</v>
      </c>
      <c r="L446" s="563">
        <v>0</v>
      </c>
      <c r="M446" s="563">
        <v>0</v>
      </c>
      <c r="N446" s="563">
        <v>0</v>
      </c>
      <c r="O446" s="563">
        <v>0</v>
      </c>
      <c r="P446" s="563">
        <f t="shared" si="188"/>
        <v>0</v>
      </c>
      <c r="Q446" s="563">
        <v>0</v>
      </c>
      <c r="R446" s="564">
        <v>0</v>
      </c>
      <c r="S446" s="563">
        <v>0</v>
      </c>
    </row>
    <row r="447" spans="1:19" ht="13.5" customHeight="1">
      <c r="A447" s="561"/>
      <c r="B447" s="561"/>
      <c r="C447" s="562" t="s">
        <v>125</v>
      </c>
      <c r="D447" s="563">
        <v>31417</v>
      </c>
      <c r="E447" s="563">
        <f t="shared" si="185"/>
        <v>31417</v>
      </c>
      <c r="F447" s="563">
        <f t="shared" si="166"/>
        <v>100</v>
      </c>
      <c r="G447" s="563">
        <f t="shared" si="186"/>
        <v>31417</v>
      </c>
      <c r="H447" s="563">
        <f t="shared" si="187"/>
        <v>31417</v>
      </c>
      <c r="I447" s="563">
        <v>0</v>
      </c>
      <c r="J447" s="563">
        <v>31417</v>
      </c>
      <c r="K447" s="563">
        <v>0</v>
      </c>
      <c r="L447" s="563">
        <v>0</v>
      </c>
      <c r="M447" s="563">
        <v>0</v>
      </c>
      <c r="N447" s="563">
        <v>0</v>
      </c>
      <c r="O447" s="563">
        <v>0</v>
      </c>
      <c r="P447" s="563">
        <f t="shared" si="188"/>
        <v>0</v>
      </c>
      <c r="Q447" s="563">
        <v>0</v>
      </c>
      <c r="R447" s="564">
        <v>0</v>
      </c>
      <c r="S447" s="563">
        <v>0</v>
      </c>
    </row>
    <row r="448" spans="1:19" ht="13.5" customHeight="1">
      <c r="A448" s="561"/>
      <c r="B448" s="561"/>
      <c r="C448" s="562" t="s">
        <v>300</v>
      </c>
      <c r="D448" s="563">
        <v>1339</v>
      </c>
      <c r="E448" s="563">
        <f t="shared" si="185"/>
        <v>1338.98</v>
      </c>
      <c r="F448" s="563">
        <f t="shared" si="166"/>
        <v>99.99850634802091</v>
      </c>
      <c r="G448" s="563">
        <f t="shared" si="186"/>
        <v>1338.98</v>
      </c>
      <c r="H448" s="563">
        <f t="shared" si="187"/>
        <v>1338.98</v>
      </c>
      <c r="I448" s="563">
        <v>0</v>
      </c>
      <c r="J448" s="563">
        <v>1338.98</v>
      </c>
      <c r="K448" s="563">
        <v>0</v>
      </c>
      <c r="L448" s="563">
        <v>0</v>
      </c>
      <c r="M448" s="563">
        <v>0</v>
      </c>
      <c r="N448" s="563">
        <v>0</v>
      </c>
      <c r="O448" s="563">
        <v>0</v>
      </c>
      <c r="P448" s="563">
        <f t="shared" si="188"/>
        <v>0</v>
      </c>
      <c r="Q448" s="563">
        <v>0</v>
      </c>
      <c r="R448" s="564">
        <v>0</v>
      </c>
      <c r="S448" s="563">
        <v>0</v>
      </c>
    </row>
    <row r="449" spans="1:19" ht="13.5" customHeight="1">
      <c r="A449" s="561"/>
      <c r="B449" s="561"/>
      <c r="C449" s="562" t="s">
        <v>303</v>
      </c>
      <c r="D449" s="563">
        <v>228</v>
      </c>
      <c r="E449" s="563">
        <f t="shared" si="185"/>
        <v>228</v>
      </c>
      <c r="F449" s="563">
        <f t="shared" si="166"/>
        <v>100</v>
      </c>
      <c r="G449" s="563">
        <f t="shared" si="186"/>
        <v>228</v>
      </c>
      <c r="H449" s="563">
        <f t="shared" si="187"/>
        <v>228</v>
      </c>
      <c r="I449" s="563">
        <v>0</v>
      </c>
      <c r="J449" s="563">
        <v>228</v>
      </c>
      <c r="K449" s="563">
        <v>0</v>
      </c>
      <c r="L449" s="563">
        <v>0</v>
      </c>
      <c r="M449" s="563">
        <v>0</v>
      </c>
      <c r="N449" s="563">
        <v>0</v>
      </c>
      <c r="O449" s="563">
        <v>0</v>
      </c>
      <c r="P449" s="563">
        <f t="shared" si="188"/>
        <v>0</v>
      </c>
      <c r="Q449" s="563">
        <v>0</v>
      </c>
      <c r="R449" s="564">
        <v>0</v>
      </c>
      <c r="S449" s="563">
        <v>0</v>
      </c>
    </row>
    <row r="450" spans="1:19" ht="13.5" customHeight="1">
      <c r="A450" s="561"/>
      <c r="B450" s="561"/>
      <c r="C450" s="562" t="s">
        <v>304</v>
      </c>
      <c r="D450" s="563">
        <v>8893</v>
      </c>
      <c r="E450" s="563">
        <f t="shared" si="185"/>
        <v>8893</v>
      </c>
      <c r="F450" s="563">
        <f t="shared" si="166"/>
        <v>100</v>
      </c>
      <c r="G450" s="563">
        <f t="shared" si="186"/>
        <v>8893</v>
      </c>
      <c r="H450" s="563">
        <f t="shared" si="187"/>
        <v>8893</v>
      </c>
      <c r="I450" s="563">
        <v>0</v>
      </c>
      <c r="J450" s="563">
        <v>8893</v>
      </c>
      <c r="K450" s="563">
        <v>0</v>
      </c>
      <c r="L450" s="563">
        <v>0</v>
      </c>
      <c r="M450" s="563">
        <v>0</v>
      </c>
      <c r="N450" s="563">
        <v>0</v>
      </c>
      <c r="O450" s="563">
        <v>0</v>
      </c>
      <c r="P450" s="563">
        <f t="shared" si="188"/>
        <v>0</v>
      </c>
      <c r="Q450" s="563">
        <v>0</v>
      </c>
      <c r="R450" s="564">
        <v>0</v>
      </c>
      <c r="S450" s="563">
        <v>0</v>
      </c>
    </row>
    <row r="451" spans="1:19" ht="13.5" customHeight="1">
      <c r="A451" s="561"/>
      <c r="B451" s="561"/>
      <c r="C451" s="562" t="s">
        <v>351</v>
      </c>
      <c r="D451" s="563">
        <v>689</v>
      </c>
      <c r="E451" s="563">
        <f>G451+P451</f>
        <v>688.58</v>
      </c>
      <c r="F451" s="563">
        <f>E451/D451*100</f>
        <v>99.93904208998549</v>
      </c>
      <c r="G451" s="563">
        <f>H451+K451+L451+M451+N451+O451</f>
        <v>688.58</v>
      </c>
      <c r="H451" s="563">
        <f>SUM(I451:J451)</f>
        <v>688.58</v>
      </c>
      <c r="I451" s="563">
        <v>0</v>
      </c>
      <c r="J451" s="563">
        <v>688.58</v>
      </c>
      <c r="K451" s="563">
        <v>0</v>
      </c>
      <c r="L451" s="563">
        <v>0</v>
      </c>
      <c r="M451" s="563">
        <v>0</v>
      </c>
      <c r="N451" s="563">
        <v>0</v>
      </c>
      <c r="O451" s="563">
        <v>0</v>
      </c>
      <c r="P451" s="563">
        <f>Q451+S451</f>
        <v>0</v>
      </c>
      <c r="Q451" s="563">
        <v>0</v>
      </c>
      <c r="R451" s="564">
        <v>0</v>
      </c>
      <c r="S451" s="563">
        <v>0</v>
      </c>
    </row>
    <row r="452" spans="1:19" ht="13.5" customHeight="1">
      <c r="A452" s="561"/>
      <c r="B452" s="561"/>
      <c r="C452" s="562" t="s">
        <v>145</v>
      </c>
      <c r="D452" s="563">
        <v>80</v>
      </c>
      <c r="E452" s="563">
        <f>G452+P452</f>
        <v>80</v>
      </c>
      <c r="F452" s="563">
        <f>E452/D452*100</f>
        <v>100</v>
      </c>
      <c r="G452" s="563">
        <f>H452+K452+L452+M452+N452+O452</f>
        <v>80</v>
      </c>
      <c r="H452" s="563">
        <f>SUM(I452:J452)</f>
        <v>80</v>
      </c>
      <c r="I452" s="563">
        <v>0</v>
      </c>
      <c r="J452" s="563">
        <v>80</v>
      </c>
      <c r="K452" s="563">
        <v>0</v>
      </c>
      <c r="L452" s="563">
        <v>0</v>
      </c>
      <c r="M452" s="563">
        <v>0</v>
      </c>
      <c r="N452" s="563">
        <v>0</v>
      </c>
      <c r="O452" s="563">
        <v>0</v>
      </c>
      <c r="P452" s="563">
        <f>Q452+S452</f>
        <v>0</v>
      </c>
      <c r="Q452" s="563">
        <v>0</v>
      </c>
      <c r="R452" s="564">
        <v>0</v>
      </c>
      <c r="S452" s="563">
        <v>0</v>
      </c>
    </row>
    <row r="453" spans="1:19" ht="13.5" customHeight="1">
      <c r="A453" s="561"/>
      <c r="B453" s="554" t="s">
        <v>362</v>
      </c>
      <c r="C453" s="554"/>
      <c r="D453" s="560">
        <f>SUM(D454:D454)</f>
        <v>97200</v>
      </c>
      <c r="E453" s="560">
        <f>SUM(E454:E454)</f>
        <v>96600</v>
      </c>
      <c r="F453" s="560">
        <f t="shared" si="166"/>
        <v>99.38271604938271</v>
      </c>
      <c r="G453" s="560">
        <f aca="true" t="shared" si="189" ref="G453:S453">SUM(G454:G454)</f>
        <v>96600</v>
      </c>
      <c r="H453" s="560">
        <f t="shared" si="189"/>
        <v>0</v>
      </c>
      <c r="I453" s="560">
        <f t="shared" si="189"/>
        <v>0</v>
      </c>
      <c r="J453" s="560">
        <f t="shared" si="189"/>
        <v>0</v>
      </c>
      <c r="K453" s="560">
        <f t="shared" si="189"/>
        <v>0</v>
      </c>
      <c r="L453" s="560">
        <f t="shared" si="189"/>
        <v>96600</v>
      </c>
      <c r="M453" s="560">
        <f t="shared" si="189"/>
        <v>0</v>
      </c>
      <c r="N453" s="560">
        <f t="shared" si="189"/>
        <v>0</v>
      </c>
      <c r="O453" s="560">
        <f t="shared" si="189"/>
        <v>0</v>
      </c>
      <c r="P453" s="560">
        <f t="shared" si="189"/>
        <v>0</v>
      </c>
      <c r="Q453" s="560">
        <f t="shared" si="189"/>
        <v>0</v>
      </c>
      <c r="R453" s="560">
        <f t="shared" si="189"/>
        <v>0</v>
      </c>
      <c r="S453" s="560">
        <f t="shared" si="189"/>
        <v>0</v>
      </c>
    </row>
    <row r="454" spans="1:19" ht="13.5" customHeight="1">
      <c r="A454" s="561"/>
      <c r="B454" s="561"/>
      <c r="C454" s="562" t="s">
        <v>363</v>
      </c>
      <c r="D454" s="563">
        <v>97200</v>
      </c>
      <c r="E454" s="563">
        <f>G454+P454</f>
        <v>96600</v>
      </c>
      <c r="F454" s="563">
        <f t="shared" si="166"/>
        <v>99.38271604938271</v>
      </c>
      <c r="G454" s="563">
        <f>H454+K454+L454+M454+N454+O454</f>
        <v>96600</v>
      </c>
      <c r="H454" s="563">
        <f>SUM(I454:J454)</f>
        <v>0</v>
      </c>
      <c r="I454" s="563">
        <v>0</v>
      </c>
      <c r="J454" s="563">
        <v>0</v>
      </c>
      <c r="K454" s="563">
        <v>0</v>
      </c>
      <c r="L454" s="563">
        <f>4000+92600</f>
        <v>96600</v>
      </c>
      <c r="M454" s="563">
        <v>0</v>
      </c>
      <c r="N454" s="563">
        <v>0</v>
      </c>
      <c r="O454" s="563">
        <v>0</v>
      </c>
      <c r="P454" s="563">
        <f>Q454+S454</f>
        <v>0</v>
      </c>
      <c r="Q454" s="563">
        <v>0</v>
      </c>
      <c r="R454" s="564">
        <v>0</v>
      </c>
      <c r="S454" s="563">
        <v>0</v>
      </c>
    </row>
    <row r="455" spans="1:19" ht="13.5" customHeight="1">
      <c r="A455" s="561"/>
      <c r="B455" s="554" t="s">
        <v>364</v>
      </c>
      <c r="C455" s="554"/>
      <c r="D455" s="560">
        <f>SUM(D456:D457)</f>
        <v>11108</v>
      </c>
      <c r="E455" s="560">
        <f>SUM(E456:E457)</f>
        <v>11069.7</v>
      </c>
      <c r="F455" s="560">
        <f aca="true" t="shared" si="190" ref="F455:F464">E455/D455*100</f>
        <v>99.65520345696795</v>
      </c>
      <c r="G455" s="560">
        <f aca="true" t="shared" si="191" ref="G455:S455">SUM(G456:G457)</f>
        <v>11069.7</v>
      </c>
      <c r="H455" s="560">
        <f t="shared" si="191"/>
        <v>11069.7</v>
      </c>
      <c r="I455" s="560">
        <f t="shared" si="191"/>
        <v>0</v>
      </c>
      <c r="J455" s="560">
        <f t="shared" si="191"/>
        <v>11069.7</v>
      </c>
      <c r="K455" s="560">
        <f t="shared" si="191"/>
        <v>0</v>
      </c>
      <c r="L455" s="560">
        <f t="shared" si="191"/>
        <v>0</v>
      </c>
      <c r="M455" s="560">
        <f t="shared" si="191"/>
        <v>0</v>
      </c>
      <c r="N455" s="560">
        <f t="shared" si="191"/>
        <v>0</v>
      </c>
      <c r="O455" s="560">
        <f t="shared" si="191"/>
        <v>0</v>
      </c>
      <c r="P455" s="560">
        <f t="shared" si="191"/>
        <v>0</v>
      </c>
      <c r="Q455" s="560">
        <f t="shared" si="191"/>
        <v>0</v>
      </c>
      <c r="R455" s="560">
        <f t="shared" si="191"/>
        <v>0</v>
      </c>
      <c r="S455" s="560">
        <f t="shared" si="191"/>
        <v>0</v>
      </c>
    </row>
    <row r="456" spans="1:19" ht="13.5" customHeight="1">
      <c r="A456" s="561"/>
      <c r="B456" s="561"/>
      <c r="C456" s="562" t="s">
        <v>302</v>
      </c>
      <c r="D456" s="563">
        <v>848</v>
      </c>
      <c r="E456" s="563">
        <f>G456+P456</f>
        <v>809.7</v>
      </c>
      <c r="F456" s="563">
        <f>E456/D456*100</f>
        <v>95.48349056603774</v>
      </c>
      <c r="G456" s="563">
        <f>H456+K456+L456+M456+N456+O456</f>
        <v>809.7</v>
      </c>
      <c r="H456" s="563">
        <f>SUM(I456:J456)</f>
        <v>809.7</v>
      </c>
      <c r="I456" s="563">
        <v>0</v>
      </c>
      <c r="J456" s="563">
        <v>809.7</v>
      </c>
      <c r="K456" s="563">
        <v>0</v>
      </c>
      <c r="L456" s="563">
        <v>0</v>
      </c>
      <c r="M456" s="563">
        <v>0</v>
      </c>
      <c r="N456" s="563">
        <v>0</v>
      </c>
      <c r="O456" s="563">
        <v>0</v>
      </c>
      <c r="P456" s="563">
        <f>Q456+S456</f>
        <v>0</v>
      </c>
      <c r="Q456" s="563">
        <v>0</v>
      </c>
      <c r="R456" s="564">
        <v>0</v>
      </c>
      <c r="S456" s="563">
        <v>0</v>
      </c>
    </row>
    <row r="457" spans="1:19" ht="13.5" customHeight="1">
      <c r="A457" s="561"/>
      <c r="B457" s="561"/>
      <c r="C457" s="562" t="s">
        <v>145</v>
      </c>
      <c r="D457" s="563">
        <v>10260</v>
      </c>
      <c r="E457" s="563">
        <f>G457+P457</f>
        <v>10260</v>
      </c>
      <c r="F457" s="563">
        <f>E457/D457*100</f>
        <v>100</v>
      </c>
      <c r="G457" s="563">
        <f>H457+K457+L457+M457+N457+O457</f>
        <v>10260</v>
      </c>
      <c r="H457" s="563">
        <f>SUM(I457:J457)</f>
        <v>10260</v>
      </c>
      <c r="I457" s="563">
        <v>0</v>
      </c>
      <c r="J457" s="563">
        <v>10260</v>
      </c>
      <c r="K457" s="563">
        <v>0</v>
      </c>
      <c r="L457" s="563">
        <v>0</v>
      </c>
      <c r="M457" s="563">
        <v>0</v>
      </c>
      <c r="N457" s="563">
        <v>0</v>
      </c>
      <c r="O457" s="563">
        <v>0</v>
      </c>
      <c r="P457" s="563">
        <f>Q457+S457</f>
        <v>0</v>
      </c>
      <c r="Q457" s="563">
        <v>0</v>
      </c>
      <c r="R457" s="564">
        <v>0</v>
      </c>
      <c r="S457" s="563">
        <v>0</v>
      </c>
    </row>
    <row r="458" spans="1:19" ht="13.5" customHeight="1">
      <c r="A458" s="561"/>
      <c r="B458" s="554" t="s">
        <v>365</v>
      </c>
      <c r="C458" s="554"/>
      <c r="D458" s="560">
        <f>SUM(D459:D461)</f>
        <v>15949</v>
      </c>
      <c r="E458" s="560">
        <f>SUM(E459:E461)</f>
        <v>14444.85</v>
      </c>
      <c r="F458" s="560">
        <f t="shared" si="190"/>
        <v>90.56900119129726</v>
      </c>
      <c r="G458" s="560">
        <f aca="true" t="shared" si="192" ref="G458:S458">SUM(G459:G461)</f>
        <v>14444.85</v>
      </c>
      <c r="H458" s="560">
        <f t="shared" si="192"/>
        <v>14444.85</v>
      </c>
      <c r="I458" s="560">
        <f t="shared" si="192"/>
        <v>0</v>
      </c>
      <c r="J458" s="560">
        <f t="shared" si="192"/>
        <v>14444.85</v>
      </c>
      <c r="K458" s="560">
        <f t="shared" si="192"/>
        <v>0</v>
      </c>
      <c r="L458" s="560">
        <f t="shared" si="192"/>
        <v>0</v>
      </c>
      <c r="M458" s="560">
        <f t="shared" si="192"/>
        <v>0</v>
      </c>
      <c r="N458" s="560">
        <f t="shared" si="192"/>
        <v>0</v>
      </c>
      <c r="O458" s="560">
        <f t="shared" si="192"/>
        <v>0</v>
      </c>
      <c r="P458" s="560">
        <f t="shared" si="192"/>
        <v>0</v>
      </c>
      <c r="Q458" s="560">
        <f t="shared" si="192"/>
        <v>0</v>
      </c>
      <c r="R458" s="560">
        <f t="shared" si="192"/>
        <v>0</v>
      </c>
      <c r="S458" s="560">
        <f t="shared" si="192"/>
        <v>0</v>
      </c>
    </row>
    <row r="459" spans="1:19" ht="13.5" customHeight="1">
      <c r="A459" s="561"/>
      <c r="B459" s="561"/>
      <c r="C459" s="562" t="s">
        <v>123</v>
      </c>
      <c r="D459" s="563">
        <v>2500</v>
      </c>
      <c r="E459" s="563">
        <f>G459+P459</f>
        <v>2495.85</v>
      </c>
      <c r="F459" s="563">
        <f>E459/D459*100</f>
        <v>99.834</v>
      </c>
      <c r="G459" s="563">
        <f>H459+K459+L459+M459+N459+O459</f>
        <v>2495.85</v>
      </c>
      <c r="H459" s="563">
        <f>SUM(I459:J459)</f>
        <v>2495.85</v>
      </c>
      <c r="I459" s="563">
        <v>0</v>
      </c>
      <c r="J459" s="563">
        <v>2495.85</v>
      </c>
      <c r="K459" s="563">
        <v>0</v>
      </c>
      <c r="L459" s="563">
        <v>0</v>
      </c>
      <c r="M459" s="563">
        <v>0</v>
      </c>
      <c r="N459" s="563">
        <v>0</v>
      </c>
      <c r="O459" s="563">
        <v>0</v>
      </c>
      <c r="P459" s="563">
        <f>Q459+S459</f>
        <v>0</v>
      </c>
      <c r="Q459" s="563">
        <v>0</v>
      </c>
      <c r="R459" s="564">
        <v>0</v>
      </c>
      <c r="S459" s="563">
        <v>0</v>
      </c>
    </row>
    <row r="460" spans="1:19" ht="13.5" customHeight="1">
      <c r="A460" s="561"/>
      <c r="B460" s="561"/>
      <c r="C460" s="562" t="s">
        <v>125</v>
      </c>
      <c r="D460" s="563">
        <v>1500</v>
      </c>
      <c r="E460" s="563">
        <f>G460+P460</f>
        <v>0</v>
      </c>
      <c r="F460" s="563">
        <f>E460/D460*100</f>
        <v>0</v>
      </c>
      <c r="G460" s="563">
        <f>H460+K460+L460+M460+N460+O460</f>
        <v>0</v>
      </c>
      <c r="H460" s="563">
        <f>SUM(I460:J460)</f>
        <v>0</v>
      </c>
      <c r="I460" s="563">
        <v>0</v>
      </c>
      <c r="J460" s="563">
        <v>0</v>
      </c>
      <c r="K460" s="563">
        <v>0</v>
      </c>
      <c r="L460" s="563">
        <v>0</v>
      </c>
      <c r="M460" s="563">
        <v>0</v>
      </c>
      <c r="N460" s="563">
        <v>0</v>
      </c>
      <c r="O460" s="563">
        <v>0</v>
      </c>
      <c r="P460" s="563">
        <f>Q460+S460</f>
        <v>0</v>
      </c>
      <c r="Q460" s="563">
        <v>0</v>
      </c>
      <c r="R460" s="564">
        <v>0</v>
      </c>
      <c r="S460" s="563">
        <v>0</v>
      </c>
    </row>
    <row r="461" spans="1:19" ht="13.5" customHeight="1">
      <c r="A461" s="561"/>
      <c r="B461" s="561"/>
      <c r="C461" s="562" t="s">
        <v>304</v>
      </c>
      <c r="D461" s="563">
        <v>11949</v>
      </c>
      <c r="E461" s="563">
        <f>G461+P461</f>
        <v>11949</v>
      </c>
      <c r="F461" s="563">
        <f t="shared" si="190"/>
        <v>100</v>
      </c>
      <c r="G461" s="563">
        <f>H461+K461+L461+M461+N461+O461</f>
        <v>11949</v>
      </c>
      <c r="H461" s="563">
        <f>SUM(I461:J461)</f>
        <v>11949</v>
      </c>
      <c r="I461" s="563">
        <v>0</v>
      </c>
      <c r="J461" s="563">
        <v>11949</v>
      </c>
      <c r="K461" s="563">
        <v>0</v>
      </c>
      <c r="L461" s="563">
        <v>0</v>
      </c>
      <c r="M461" s="563">
        <v>0</v>
      </c>
      <c r="N461" s="563">
        <v>0</v>
      </c>
      <c r="O461" s="563">
        <v>0</v>
      </c>
      <c r="P461" s="563">
        <f>Q461+S461</f>
        <v>0</v>
      </c>
      <c r="Q461" s="563">
        <v>0</v>
      </c>
      <c r="R461" s="564">
        <v>0</v>
      </c>
      <c r="S461" s="563">
        <v>0</v>
      </c>
    </row>
    <row r="462" spans="1:19" ht="13.5" customHeight="1">
      <c r="A462" s="557" t="s">
        <v>273</v>
      </c>
      <c r="B462" s="557"/>
      <c r="C462" s="554"/>
      <c r="D462" s="560">
        <f>D463</f>
        <v>56000</v>
      </c>
      <c r="E462" s="560">
        <f>E463</f>
        <v>20525.82</v>
      </c>
      <c r="F462" s="560">
        <f t="shared" si="190"/>
        <v>36.65325</v>
      </c>
      <c r="G462" s="560">
        <f aca="true" t="shared" si="193" ref="G462:S462">G463</f>
        <v>13525.820000000002</v>
      </c>
      <c r="H462" s="560">
        <f t="shared" si="193"/>
        <v>13525.820000000002</v>
      </c>
      <c r="I462" s="560">
        <f t="shared" si="193"/>
        <v>0</v>
      </c>
      <c r="J462" s="560">
        <f t="shared" si="193"/>
        <v>13525.820000000002</v>
      </c>
      <c r="K462" s="560">
        <f t="shared" si="193"/>
        <v>0</v>
      </c>
      <c r="L462" s="560">
        <f t="shared" si="193"/>
        <v>0</v>
      </c>
      <c r="M462" s="560">
        <f t="shared" si="193"/>
        <v>0</v>
      </c>
      <c r="N462" s="560">
        <f t="shared" si="193"/>
        <v>0</v>
      </c>
      <c r="O462" s="560">
        <f t="shared" si="193"/>
        <v>0</v>
      </c>
      <c r="P462" s="560">
        <f t="shared" si="193"/>
        <v>7000</v>
      </c>
      <c r="Q462" s="560">
        <f t="shared" si="193"/>
        <v>7000</v>
      </c>
      <c r="R462" s="560">
        <f t="shared" si="193"/>
        <v>0</v>
      </c>
      <c r="S462" s="560">
        <f t="shared" si="193"/>
        <v>0</v>
      </c>
    </row>
    <row r="463" spans="1:19" ht="13.5" customHeight="1">
      <c r="A463" s="557"/>
      <c r="B463" s="554" t="s">
        <v>274</v>
      </c>
      <c r="C463" s="554"/>
      <c r="D463" s="560">
        <f>SUM(D464:D469)</f>
        <v>56000</v>
      </c>
      <c r="E463" s="560">
        <f>SUM(E464:E469)</f>
        <v>20525.82</v>
      </c>
      <c r="F463" s="560">
        <f t="shared" si="190"/>
        <v>36.65325</v>
      </c>
      <c r="G463" s="560">
        <f aca="true" t="shared" si="194" ref="G463:S463">SUM(G464:G469)</f>
        <v>13525.820000000002</v>
      </c>
      <c r="H463" s="560">
        <f t="shared" si="194"/>
        <v>13525.820000000002</v>
      </c>
      <c r="I463" s="560">
        <f t="shared" si="194"/>
        <v>0</v>
      </c>
      <c r="J463" s="560">
        <f t="shared" si="194"/>
        <v>13525.820000000002</v>
      </c>
      <c r="K463" s="560">
        <f t="shared" si="194"/>
        <v>0</v>
      </c>
      <c r="L463" s="560">
        <f t="shared" si="194"/>
        <v>0</v>
      </c>
      <c r="M463" s="560">
        <f t="shared" si="194"/>
        <v>0</v>
      </c>
      <c r="N463" s="560">
        <f t="shared" si="194"/>
        <v>0</v>
      </c>
      <c r="O463" s="560">
        <f t="shared" si="194"/>
        <v>0</v>
      </c>
      <c r="P463" s="560">
        <f t="shared" si="194"/>
        <v>7000</v>
      </c>
      <c r="Q463" s="560">
        <f t="shared" si="194"/>
        <v>7000</v>
      </c>
      <c r="R463" s="560">
        <f t="shared" si="194"/>
        <v>0</v>
      </c>
      <c r="S463" s="560">
        <f t="shared" si="194"/>
        <v>0</v>
      </c>
    </row>
    <row r="464" spans="1:19" ht="13.5" customHeight="1">
      <c r="A464" s="561"/>
      <c r="B464" s="561"/>
      <c r="C464" s="562" t="s">
        <v>305</v>
      </c>
      <c r="D464" s="563">
        <v>10000</v>
      </c>
      <c r="E464" s="563">
        <f aca="true" t="shared" si="195" ref="E464:E469">G464+P464</f>
        <v>0</v>
      </c>
      <c r="F464" s="563">
        <f t="shared" si="190"/>
        <v>0</v>
      </c>
      <c r="G464" s="563">
        <f aca="true" t="shared" si="196" ref="G464:G469">H464+K464+L464+M464+N464+O464</f>
        <v>0</v>
      </c>
      <c r="H464" s="563">
        <f aca="true" t="shared" si="197" ref="H464:H469">SUM(I464:J464)</f>
        <v>0</v>
      </c>
      <c r="I464" s="563">
        <v>0</v>
      </c>
      <c r="J464" s="563">
        <v>0</v>
      </c>
      <c r="K464" s="563">
        <v>0</v>
      </c>
      <c r="L464" s="563">
        <v>0</v>
      </c>
      <c r="M464" s="563">
        <v>0</v>
      </c>
      <c r="N464" s="563">
        <v>0</v>
      </c>
      <c r="O464" s="563">
        <v>0</v>
      </c>
      <c r="P464" s="563">
        <f aca="true" t="shared" si="198" ref="P464:P469">Q464+S464</f>
        <v>0</v>
      </c>
      <c r="Q464" s="563">
        <v>0</v>
      </c>
      <c r="R464" s="564">
        <v>0</v>
      </c>
      <c r="S464" s="563">
        <v>0</v>
      </c>
    </row>
    <row r="465" spans="1:19" ht="13.5" customHeight="1">
      <c r="A465" s="561"/>
      <c r="B465" s="561"/>
      <c r="C465" s="562" t="s">
        <v>123</v>
      </c>
      <c r="D465" s="563">
        <v>3000</v>
      </c>
      <c r="E465" s="563">
        <f t="shared" si="195"/>
        <v>0</v>
      </c>
      <c r="F465" s="563">
        <f>E465/D465*100</f>
        <v>0</v>
      </c>
      <c r="G465" s="563">
        <f t="shared" si="196"/>
        <v>0</v>
      </c>
      <c r="H465" s="563">
        <f t="shared" si="197"/>
        <v>0</v>
      </c>
      <c r="I465" s="563">
        <v>0</v>
      </c>
      <c r="J465" s="563">
        <v>0</v>
      </c>
      <c r="K465" s="563">
        <v>0</v>
      </c>
      <c r="L465" s="563">
        <v>0</v>
      </c>
      <c r="M465" s="563">
        <v>0</v>
      </c>
      <c r="N465" s="563">
        <v>0</v>
      </c>
      <c r="O465" s="563">
        <v>0</v>
      </c>
      <c r="P465" s="563">
        <f t="shared" si="198"/>
        <v>0</v>
      </c>
      <c r="Q465" s="563">
        <v>0</v>
      </c>
      <c r="R465" s="564">
        <v>0</v>
      </c>
      <c r="S465" s="563">
        <v>0</v>
      </c>
    </row>
    <row r="466" spans="1:19" ht="13.5" customHeight="1">
      <c r="A466" s="561"/>
      <c r="B466" s="561"/>
      <c r="C466" s="562" t="s">
        <v>331</v>
      </c>
      <c r="D466" s="563">
        <v>1000</v>
      </c>
      <c r="E466" s="563">
        <f t="shared" si="195"/>
        <v>111.2</v>
      </c>
      <c r="F466" s="563">
        <f>E466/D466*100</f>
        <v>11.120000000000001</v>
      </c>
      <c r="G466" s="563">
        <f t="shared" si="196"/>
        <v>111.2</v>
      </c>
      <c r="H466" s="563">
        <f t="shared" si="197"/>
        <v>111.2</v>
      </c>
      <c r="I466" s="563">
        <v>0</v>
      </c>
      <c r="J466" s="563">
        <v>111.2</v>
      </c>
      <c r="K466" s="563">
        <v>0</v>
      </c>
      <c r="L466" s="563">
        <v>0</v>
      </c>
      <c r="M466" s="563">
        <v>0</v>
      </c>
      <c r="N466" s="563">
        <v>0</v>
      </c>
      <c r="O466" s="563">
        <v>0</v>
      </c>
      <c r="P466" s="563">
        <f t="shared" si="198"/>
        <v>0</v>
      </c>
      <c r="Q466" s="563">
        <v>0</v>
      </c>
      <c r="R466" s="564">
        <v>0</v>
      </c>
      <c r="S466" s="563">
        <v>0</v>
      </c>
    </row>
    <row r="467" spans="1:19" ht="13.5" customHeight="1">
      <c r="A467" s="561"/>
      <c r="B467" s="561"/>
      <c r="C467" s="562" t="s">
        <v>125</v>
      </c>
      <c r="D467" s="563">
        <v>25000</v>
      </c>
      <c r="E467" s="563">
        <f t="shared" si="195"/>
        <v>10411.52</v>
      </c>
      <c r="F467" s="563">
        <f aca="true" t="shared" si="199" ref="F467:F472">E467/D467*100</f>
        <v>41.646080000000005</v>
      </c>
      <c r="G467" s="563">
        <f t="shared" si="196"/>
        <v>10411.52</v>
      </c>
      <c r="H467" s="563">
        <f t="shared" si="197"/>
        <v>10411.52</v>
      </c>
      <c r="I467" s="563">
        <v>0</v>
      </c>
      <c r="J467" s="563">
        <v>10411.52</v>
      </c>
      <c r="K467" s="563">
        <v>0</v>
      </c>
      <c r="L467" s="563">
        <v>0</v>
      </c>
      <c r="M467" s="563">
        <v>0</v>
      </c>
      <c r="N467" s="563">
        <v>0</v>
      </c>
      <c r="O467" s="563">
        <v>0</v>
      </c>
      <c r="P467" s="563">
        <f t="shared" si="198"/>
        <v>0</v>
      </c>
      <c r="Q467" s="563">
        <v>0</v>
      </c>
      <c r="R467" s="564">
        <v>0</v>
      </c>
      <c r="S467" s="563">
        <v>0</v>
      </c>
    </row>
    <row r="468" spans="1:19" ht="13.5" customHeight="1">
      <c r="A468" s="561"/>
      <c r="B468" s="561"/>
      <c r="C468" s="562" t="s">
        <v>145</v>
      </c>
      <c r="D468" s="563">
        <v>10000</v>
      </c>
      <c r="E468" s="563">
        <f t="shared" si="195"/>
        <v>3003.1</v>
      </c>
      <c r="F468" s="563">
        <f t="shared" si="199"/>
        <v>30.030999999999995</v>
      </c>
      <c r="G468" s="563">
        <f t="shared" si="196"/>
        <v>3003.1</v>
      </c>
      <c r="H468" s="563">
        <f t="shared" si="197"/>
        <v>3003.1</v>
      </c>
      <c r="I468" s="563">
        <v>0</v>
      </c>
      <c r="J468" s="563">
        <v>3003.1</v>
      </c>
      <c r="K468" s="563">
        <v>0</v>
      </c>
      <c r="L468" s="563">
        <v>0</v>
      </c>
      <c r="M468" s="563">
        <v>0</v>
      </c>
      <c r="N468" s="563">
        <v>0</v>
      </c>
      <c r="O468" s="563">
        <v>0</v>
      </c>
      <c r="P468" s="563">
        <f t="shared" si="198"/>
        <v>0</v>
      </c>
      <c r="Q468" s="563">
        <v>0</v>
      </c>
      <c r="R468" s="564">
        <v>0</v>
      </c>
      <c r="S468" s="563">
        <v>0</v>
      </c>
    </row>
    <row r="469" spans="1:19" ht="13.5" customHeight="1">
      <c r="A469" s="561"/>
      <c r="B469" s="561"/>
      <c r="C469" s="562" t="s">
        <v>326</v>
      </c>
      <c r="D469" s="563">
        <v>7000</v>
      </c>
      <c r="E469" s="563">
        <f t="shared" si="195"/>
        <v>7000</v>
      </c>
      <c r="F469" s="563">
        <f t="shared" si="199"/>
        <v>100</v>
      </c>
      <c r="G469" s="563">
        <f t="shared" si="196"/>
        <v>0</v>
      </c>
      <c r="H469" s="563">
        <f t="shared" si="197"/>
        <v>0</v>
      </c>
      <c r="I469" s="563">
        <v>0</v>
      </c>
      <c r="J469" s="563">
        <v>0</v>
      </c>
      <c r="K469" s="563">
        <v>0</v>
      </c>
      <c r="L469" s="563">
        <v>0</v>
      </c>
      <c r="M469" s="563">
        <v>0</v>
      </c>
      <c r="N469" s="563">
        <v>0</v>
      </c>
      <c r="O469" s="563">
        <v>0</v>
      </c>
      <c r="P469" s="563">
        <f t="shared" si="198"/>
        <v>7000</v>
      </c>
      <c r="Q469" s="563">
        <v>7000</v>
      </c>
      <c r="R469" s="564">
        <v>0</v>
      </c>
      <c r="S469" s="563">
        <v>0</v>
      </c>
    </row>
    <row r="470" spans="1:19" ht="13.5" customHeight="1">
      <c r="A470" s="557" t="s">
        <v>66</v>
      </c>
      <c r="B470" s="557"/>
      <c r="C470" s="554"/>
      <c r="D470" s="560">
        <f>D471+D475+D478</f>
        <v>95900</v>
      </c>
      <c r="E470" s="560">
        <f>E471+E475+E478</f>
        <v>69132.57</v>
      </c>
      <c r="F470" s="560">
        <f t="shared" si="199"/>
        <v>72.08818561001044</v>
      </c>
      <c r="G470" s="560">
        <f aca="true" t="shared" si="200" ref="G470:S470">G471+G475+G478</f>
        <v>69132.57</v>
      </c>
      <c r="H470" s="560">
        <f t="shared" si="200"/>
        <v>27967.13</v>
      </c>
      <c r="I470" s="560">
        <f t="shared" si="200"/>
        <v>0</v>
      </c>
      <c r="J470" s="560">
        <f t="shared" si="200"/>
        <v>27967.13</v>
      </c>
      <c r="K470" s="560">
        <f t="shared" si="200"/>
        <v>41165.44</v>
      </c>
      <c r="L470" s="560">
        <f t="shared" si="200"/>
        <v>0</v>
      </c>
      <c r="M470" s="560">
        <f t="shared" si="200"/>
        <v>0</v>
      </c>
      <c r="N470" s="560">
        <f t="shared" si="200"/>
        <v>0</v>
      </c>
      <c r="O470" s="560">
        <f t="shared" si="200"/>
        <v>0</v>
      </c>
      <c r="P470" s="560">
        <f t="shared" si="200"/>
        <v>0</v>
      </c>
      <c r="Q470" s="560">
        <f t="shared" si="200"/>
        <v>0</v>
      </c>
      <c r="R470" s="560">
        <f t="shared" si="200"/>
        <v>0</v>
      </c>
      <c r="S470" s="560">
        <f t="shared" si="200"/>
        <v>0</v>
      </c>
    </row>
    <row r="471" spans="1:19" ht="13.5" customHeight="1">
      <c r="A471" s="557"/>
      <c r="B471" s="554" t="s">
        <v>80</v>
      </c>
      <c r="C471" s="554"/>
      <c r="D471" s="560">
        <f>SUM(D472:D474)</f>
        <v>20900</v>
      </c>
      <c r="E471" s="560">
        <f>SUM(E472:E474)</f>
        <v>11441.130000000001</v>
      </c>
      <c r="F471" s="560">
        <f t="shared" si="199"/>
        <v>54.742248803827756</v>
      </c>
      <c r="G471" s="560">
        <f aca="true" t="shared" si="201" ref="G471:S471">SUM(G472:G474)</f>
        <v>11441.130000000001</v>
      </c>
      <c r="H471" s="560">
        <f t="shared" si="201"/>
        <v>6441.13</v>
      </c>
      <c r="I471" s="560">
        <f t="shared" si="201"/>
        <v>0</v>
      </c>
      <c r="J471" s="560">
        <f t="shared" si="201"/>
        <v>6441.13</v>
      </c>
      <c r="K471" s="560">
        <f t="shared" si="201"/>
        <v>5000</v>
      </c>
      <c r="L471" s="560">
        <f t="shared" si="201"/>
        <v>0</v>
      </c>
      <c r="M471" s="560">
        <f t="shared" si="201"/>
        <v>0</v>
      </c>
      <c r="N471" s="560">
        <f t="shared" si="201"/>
        <v>0</v>
      </c>
      <c r="O471" s="560">
        <f t="shared" si="201"/>
        <v>0</v>
      </c>
      <c r="P471" s="560">
        <f t="shared" si="201"/>
        <v>0</v>
      </c>
      <c r="Q471" s="560">
        <f t="shared" si="201"/>
        <v>0</v>
      </c>
      <c r="R471" s="560">
        <f t="shared" si="201"/>
        <v>0</v>
      </c>
      <c r="S471" s="560">
        <f t="shared" si="201"/>
        <v>0</v>
      </c>
    </row>
    <row r="472" spans="1:19" ht="13.5" customHeight="1">
      <c r="A472" s="561"/>
      <c r="B472" s="561"/>
      <c r="C472" s="562" t="s">
        <v>139</v>
      </c>
      <c r="D472" s="563">
        <v>5000</v>
      </c>
      <c r="E472" s="563">
        <f>G472+P472</f>
        <v>5000</v>
      </c>
      <c r="F472" s="563">
        <f t="shared" si="199"/>
        <v>100</v>
      </c>
      <c r="G472" s="563">
        <f>H472+K472+L472+M472+N472+O472</f>
        <v>5000</v>
      </c>
      <c r="H472" s="563">
        <f>SUM(I472:J472)</f>
        <v>0</v>
      </c>
      <c r="I472" s="563">
        <v>0</v>
      </c>
      <c r="J472" s="563">
        <v>0</v>
      </c>
      <c r="K472" s="563">
        <v>5000</v>
      </c>
      <c r="L472" s="563">
        <v>0</v>
      </c>
      <c r="M472" s="563">
        <v>0</v>
      </c>
      <c r="N472" s="563">
        <v>0</v>
      </c>
      <c r="O472" s="563">
        <v>0</v>
      </c>
      <c r="P472" s="563">
        <f>Q472+S472</f>
        <v>0</v>
      </c>
      <c r="Q472" s="563">
        <v>0</v>
      </c>
      <c r="R472" s="564">
        <v>0</v>
      </c>
      <c r="S472" s="563">
        <v>0</v>
      </c>
    </row>
    <row r="473" spans="1:19" ht="13.5" customHeight="1">
      <c r="A473" s="561"/>
      <c r="B473" s="561"/>
      <c r="C473" s="562" t="s">
        <v>123</v>
      </c>
      <c r="D473" s="563">
        <v>11900</v>
      </c>
      <c r="E473" s="563">
        <f>G473+P473</f>
        <v>5241.13</v>
      </c>
      <c r="F473" s="563">
        <f aca="true" t="shared" si="202" ref="F473:F490">E473/D473*100</f>
        <v>44.04310924369748</v>
      </c>
      <c r="G473" s="563">
        <f>H473+K473+L473+M473+N473+O473</f>
        <v>5241.13</v>
      </c>
      <c r="H473" s="563">
        <f>SUM(I473:J473)</f>
        <v>5241.13</v>
      </c>
      <c r="I473" s="563">
        <v>0</v>
      </c>
      <c r="J473" s="563">
        <v>5241.13</v>
      </c>
      <c r="K473" s="563">
        <v>0</v>
      </c>
      <c r="L473" s="563">
        <v>0</v>
      </c>
      <c r="M473" s="563">
        <v>0</v>
      </c>
      <c r="N473" s="563">
        <v>0</v>
      </c>
      <c r="O473" s="563">
        <v>0</v>
      </c>
      <c r="P473" s="563">
        <f>Q473+S473</f>
        <v>0</v>
      </c>
      <c r="Q473" s="563">
        <v>0</v>
      </c>
      <c r="R473" s="564">
        <v>0</v>
      </c>
      <c r="S473" s="563">
        <v>0</v>
      </c>
    </row>
    <row r="474" spans="1:19" ht="13.5" customHeight="1">
      <c r="A474" s="561"/>
      <c r="B474" s="561"/>
      <c r="C474" s="562" t="s">
        <v>125</v>
      </c>
      <c r="D474" s="563">
        <v>4000</v>
      </c>
      <c r="E474" s="563">
        <f>G474+P474</f>
        <v>1200</v>
      </c>
      <c r="F474" s="563">
        <f t="shared" si="202"/>
        <v>30</v>
      </c>
      <c r="G474" s="563">
        <f>H474+K474+L474+M474+N474+O474</f>
        <v>1200</v>
      </c>
      <c r="H474" s="563">
        <f>SUM(I474:J474)</f>
        <v>1200</v>
      </c>
      <c r="I474" s="563">
        <v>0</v>
      </c>
      <c r="J474" s="563">
        <v>1200</v>
      </c>
      <c r="K474" s="563">
        <v>0</v>
      </c>
      <c r="L474" s="563">
        <v>0</v>
      </c>
      <c r="M474" s="563">
        <v>0</v>
      </c>
      <c r="N474" s="563">
        <v>0</v>
      </c>
      <c r="O474" s="563">
        <v>0</v>
      </c>
      <c r="P474" s="563">
        <f>Q474+S474</f>
        <v>0</v>
      </c>
      <c r="Q474" s="563">
        <v>0</v>
      </c>
      <c r="R474" s="564">
        <v>0</v>
      </c>
      <c r="S474" s="563">
        <v>0</v>
      </c>
    </row>
    <row r="475" spans="1:19" ht="13.5" customHeight="1">
      <c r="A475" s="561"/>
      <c r="B475" s="554" t="s">
        <v>366</v>
      </c>
      <c r="C475" s="554"/>
      <c r="D475" s="560">
        <f>SUM(D476:D477)</f>
        <v>10000</v>
      </c>
      <c r="E475" s="560">
        <f>SUM(E476:E477)</f>
        <v>1800</v>
      </c>
      <c r="F475" s="560">
        <f t="shared" si="202"/>
        <v>18</v>
      </c>
      <c r="G475" s="560">
        <f aca="true" t="shared" si="203" ref="G475:S475">SUM(G476:G477)</f>
        <v>1800</v>
      </c>
      <c r="H475" s="560">
        <f t="shared" si="203"/>
        <v>1800</v>
      </c>
      <c r="I475" s="560">
        <f t="shared" si="203"/>
        <v>0</v>
      </c>
      <c r="J475" s="560">
        <f t="shared" si="203"/>
        <v>1800</v>
      </c>
      <c r="K475" s="560">
        <f t="shared" si="203"/>
        <v>0</v>
      </c>
      <c r="L475" s="560">
        <f t="shared" si="203"/>
        <v>0</v>
      </c>
      <c r="M475" s="560">
        <f t="shared" si="203"/>
        <v>0</v>
      </c>
      <c r="N475" s="560">
        <f t="shared" si="203"/>
        <v>0</v>
      </c>
      <c r="O475" s="560">
        <f t="shared" si="203"/>
        <v>0</v>
      </c>
      <c r="P475" s="560">
        <f t="shared" si="203"/>
        <v>0</v>
      </c>
      <c r="Q475" s="560">
        <f t="shared" si="203"/>
        <v>0</v>
      </c>
      <c r="R475" s="560">
        <f t="shared" si="203"/>
        <v>0</v>
      </c>
      <c r="S475" s="560">
        <f t="shared" si="203"/>
        <v>0</v>
      </c>
    </row>
    <row r="476" spans="1:19" ht="13.5" customHeight="1">
      <c r="A476" s="561"/>
      <c r="B476" s="561"/>
      <c r="C476" s="562" t="s">
        <v>139</v>
      </c>
      <c r="D476" s="563">
        <v>3000</v>
      </c>
      <c r="E476" s="563">
        <f>G476+P476</f>
        <v>0</v>
      </c>
      <c r="F476" s="563">
        <f t="shared" si="202"/>
        <v>0</v>
      </c>
      <c r="G476" s="563">
        <f>H476+K476+L476+M476+N476+O476</f>
        <v>0</v>
      </c>
      <c r="H476" s="563">
        <f>SUM(I476:J476)</f>
        <v>0</v>
      </c>
      <c r="I476" s="563">
        <v>0</v>
      </c>
      <c r="J476" s="563">
        <v>0</v>
      </c>
      <c r="K476" s="563">
        <v>0</v>
      </c>
      <c r="L476" s="563">
        <v>0</v>
      </c>
      <c r="M476" s="563">
        <v>0</v>
      </c>
      <c r="N476" s="563">
        <v>0</v>
      </c>
      <c r="O476" s="563">
        <v>0</v>
      </c>
      <c r="P476" s="563">
        <f>Q476+S476</f>
        <v>0</v>
      </c>
      <c r="Q476" s="563">
        <v>0</v>
      </c>
      <c r="R476" s="564">
        <v>0</v>
      </c>
      <c r="S476" s="563">
        <v>0</v>
      </c>
    </row>
    <row r="477" spans="1:19" ht="13.5" customHeight="1">
      <c r="A477" s="561"/>
      <c r="B477" s="561"/>
      <c r="C477" s="562" t="s">
        <v>123</v>
      </c>
      <c r="D477" s="563">
        <v>7000</v>
      </c>
      <c r="E477" s="563">
        <f>G477+P477</f>
        <v>1800</v>
      </c>
      <c r="F477" s="563">
        <f>E477/D477*100</f>
        <v>25.71428571428571</v>
      </c>
      <c r="G477" s="563">
        <f>H477+K477+L477+M477+N477+O477</f>
        <v>1800</v>
      </c>
      <c r="H477" s="563">
        <f>SUM(I477:J477)</f>
        <v>1800</v>
      </c>
      <c r="I477" s="563">
        <v>0</v>
      </c>
      <c r="J477" s="563">
        <v>1800</v>
      </c>
      <c r="K477" s="563">
        <v>0</v>
      </c>
      <c r="L477" s="563">
        <v>0</v>
      </c>
      <c r="M477" s="563">
        <v>0</v>
      </c>
      <c r="N477" s="563">
        <v>0</v>
      </c>
      <c r="O477" s="563">
        <v>0</v>
      </c>
      <c r="P477" s="563">
        <f>Q477+S477</f>
        <v>0</v>
      </c>
      <c r="Q477" s="563">
        <v>0</v>
      </c>
      <c r="R477" s="564">
        <v>0</v>
      </c>
      <c r="S477" s="563">
        <v>0</v>
      </c>
    </row>
    <row r="478" spans="1:19" ht="13.5" customHeight="1">
      <c r="A478" s="561"/>
      <c r="B478" s="554" t="s">
        <v>379</v>
      </c>
      <c r="C478" s="554"/>
      <c r="D478" s="560">
        <f>SUM(D479:D481)</f>
        <v>65000</v>
      </c>
      <c r="E478" s="560">
        <f>SUM(E479:E481)</f>
        <v>55891.44</v>
      </c>
      <c r="F478" s="560">
        <f>E478/D478*100</f>
        <v>85.98683076923078</v>
      </c>
      <c r="G478" s="560">
        <f aca="true" t="shared" si="204" ref="G478:S478">SUM(G479:G481)</f>
        <v>55891.44</v>
      </c>
      <c r="H478" s="560">
        <f t="shared" si="204"/>
        <v>19726</v>
      </c>
      <c r="I478" s="560">
        <f t="shared" si="204"/>
        <v>0</v>
      </c>
      <c r="J478" s="560">
        <f t="shared" si="204"/>
        <v>19726</v>
      </c>
      <c r="K478" s="560">
        <f t="shared" si="204"/>
        <v>36165.44</v>
      </c>
      <c r="L478" s="560">
        <f t="shared" si="204"/>
        <v>0</v>
      </c>
      <c r="M478" s="560">
        <f t="shared" si="204"/>
        <v>0</v>
      </c>
      <c r="N478" s="560">
        <f t="shared" si="204"/>
        <v>0</v>
      </c>
      <c r="O478" s="560">
        <f t="shared" si="204"/>
        <v>0</v>
      </c>
      <c r="P478" s="560">
        <f t="shared" si="204"/>
        <v>0</v>
      </c>
      <c r="Q478" s="560">
        <f t="shared" si="204"/>
        <v>0</v>
      </c>
      <c r="R478" s="560">
        <f t="shared" si="204"/>
        <v>0</v>
      </c>
      <c r="S478" s="560">
        <f t="shared" si="204"/>
        <v>0</v>
      </c>
    </row>
    <row r="479" spans="1:19" ht="13.5" customHeight="1">
      <c r="A479" s="561"/>
      <c r="B479" s="561"/>
      <c r="C479" s="562" t="s">
        <v>380</v>
      </c>
      <c r="D479" s="563">
        <v>45000</v>
      </c>
      <c r="E479" s="563">
        <f>G479+P479</f>
        <v>36165.44</v>
      </c>
      <c r="F479" s="563">
        <f>E479/D479*100</f>
        <v>80.36764444444445</v>
      </c>
      <c r="G479" s="563">
        <f>H479+K479+L479+M479+N479+O479</f>
        <v>36165.44</v>
      </c>
      <c r="H479" s="563">
        <f>SUM(I479:J479)</f>
        <v>0</v>
      </c>
      <c r="I479" s="563">
        <v>0</v>
      </c>
      <c r="J479" s="563">
        <v>0</v>
      </c>
      <c r="K479" s="563">
        <v>36165.44</v>
      </c>
      <c r="L479" s="563">
        <v>0</v>
      </c>
      <c r="M479" s="563">
        <v>0</v>
      </c>
      <c r="N479" s="563">
        <v>0</v>
      </c>
      <c r="O479" s="563">
        <v>0</v>
      </c>
      <c r="P479" s="563">
        <f>Q479+S479</f>
        <v>0</v>
      </c>
      <c r="Q479" s="563">
        <v>0</v>
      </c>
      <c r="R479" s="564">
        <v>0</v>
      </c>
      <c r="S479" s="563">
        <v>0</v>
      </c>
    </row>
    <row r="480" spans="1:19" ht="13.5" customHeight="1">
      <c r="A480" s="561"/>
      <c r="B480" s="561"/>
      <c r="C480" s="562" t="s">
        <v>123</v>
      </c>
      <c r="D480" s="563">
        <v>1550</v>
      </c>
      <c r="E480" s="563">
        <f>G480+P480</f>
        <v>1276</v>
      </c>
      <c r="F480" s="563">
        <f>E480/D480*100</f>
        <v>82.3225806451613</v>
      </c>
      <c r="G480" s="563">
        <f>H480+K480+L480+M480+N480+O480</f>
        <v>1276</v>
      </c>
      <c r="H480" s="563">
        <f>SUM(I480:J480)</f>
        <v>1276</v>
      </c>
      <c r="I480" s="563">
        <v>0</v>
      </c>
      <c r="J480" s="563">
        <v>1276</v>
      </c>
      <c r="K480" s="563">
        <v>0</v>
      </c>
      <c r="L480" s="563">
        <v>0</v>
      </c>
      <c r="M480" s="563">
        <v>0</v>
      </c>
      <c r="N480" s="563">
        <v>0</v>
      </c>
      <c r="O480" s="563">
        <v>0</v>
      </c>
      <c r="P480" s="563">
        <f>Q480+S480</f>
        <v>0</v>
      </c>
      <c r="Q480" s="563">
        <v>0</v>
      </c>
      <c r="R480" s="564">
        <v>0</v>
      </c>
      <c r="S480" s="563">
        <v>0</v>
      </c>
    </row>
    <row r="481" spans="1:19" ht="13.5" customHeight="1">
      <c r="A481" s="561"/>
      <c r="B481" s="561"/>
      <c r="C481" s="562" t="s">
        <v>125</v>
      </c>
      <c r="D481" s="563">
        <v>18450</v>
      </c>
      <c r="E481" s="563">
        <f>G481+P481</f>
        <v>18450</v>
      </c>
      <c r="F481" s="563">
        <f>E481/D481*100</f>
        <v>100</v>
      </c>
      <c r="G481" s="563">
        <f>H481+K481+L481+M481+N481+O481</f>
        <v>18450</v>
      </c>
      <c r="H481" s="563">
        <f>SUM(I481:J481)</f>
        <v>18450</v>
      </c>
      <c r="I481" s="563">
        <v>0</v>
      </c>
      <c r="J481" s="563">
        <v>18450</v>
      </c>
      <c r="K481" s="563">
        <v>0</v>
      </c>
      <c r="L481" s="563">
        <v>0</v>
      </c>
      <c r="M481" s="563">
        <v>0</v>
      </c>
      <c r="N481" s="563">
        <v>0</v>
      </c>
      <c r="O481" s="563">
        <v>0</v>
      </c>
      <c r="P481" s="563">
        <f>Q481+S481</f>
        <v>0</v>
      </c>
      <c r="Q481" s="563">
        <v>0</v>
      </c>
      <c r="R481" s="564">
        <v>0</v>
      </c>
      <c r="S481" s="563">
        <v>0</v>
      </c>
    </row>
    <row r="482" spans="1:19" ht="13.5" customHeight="1">
      <c r="A482" s="554" t="s">
        <v>67</v>
      </c>
      <c r="B482" s="557"/>
      <c r="C482" s="554"/>
      <c r="D482" s="560">
        <f>D483+D490</f>
        <v>63400</v>
      </c>
      <c r="E482" s="560">
        <f>E483+E490</f>
        <v>57397.78999999999</v>
      </c>
      <c r="F482" s="560">
        <f t="shared" si="202"/>
        <v>90.53279179810725</v>
      </c>
      <c r="G482" s="560">
        <f aca="true" t="shared" si="205" ref="G482:S482">G483+G490</f>
        <v>57397.78999999999</v>
      </c>
      <c r="H482" s="560">
        <f t="shared" si="205"/>
        <v>57397.78999999999</v>
      </c>
      <c r="I482" s="560">
        <f t="shared" si="205"/>
        <v>2157.53</v>
      </c>
      <c r="J482" s="560">
        <f t="shared" si="205"/>
        <v>55240.259999999995</v>
      </c>
      <c r="K482" s="560">
        <f t="shared" si="205"/>
        <v>0</v>
      </c>
      <c r="L482" s="560">
        <f t="shared" si="205"/>
        <v>0</v>
      </c>
      <c r="M482" s="560">
        <f t="shared" si="205"/>
        <v>0</v>
      </c>
      <c r="N482" s="560">
        <f t="shared" si="205"/>
        <v>0</v>
      </c>
      <c r="O482" s="560">
        <f t="shared" si="205"/>
        <v>0</v>
      </c>
      <c r="P482" s="560">
        <f t="shared" si="205"/>
        <v>0</v>
      </c>
      <c r="Q482" s="560">
        <f t="shared" si="205"/>
        <v>0</v>
      </c>
      <c r="R482" s="560">
        <f t="shared" si="205"/>
        <v>0</v>
      </c>
      <c r="S482" s="560">
        <f t="shared" si="205"/>
        <v>0</v>
      </c>
    </row>
    <row r="483" spans="1:19" ht="13.5" customHeight="1">
      <c r="A483" s="561"/>
      <c r="B483" s="554" t="s">
        <v>367</v>
      </c>
      <c r="C483" s="554"/>
      <c r="D483" s="560">
        <f>SUM(D484:D489)</f>
        <v>53400</v>
      </c>
      <c r="E483" s="560">
        <f>SUM(E484:E489)</f>
        <v>47408.35</v>
      </c>
      <c r="F483" s="560">
        <f t="shared" si="202"/>
        <v>88.77968164794007</v>
      </c>
      <c r="G483" s="560">
        <f aca="true" t="shared" si="206" ref="G483:S483">SUM(G484:G489)</f>
        <v>47408.35</v>
      </c>
      <c r="H483" s="560">
        <f t="shared" si="206"/>
        <v>47408.35</v>
      </c>
      <c r="I483" s="560">
        <f t="shared" si="206"/>
        <v>2157.53</v>
      </c>
      <c r="J483" s="560">
        <f t="shared" si="206"/>
        <v>45250.82</v>
      </c>
      <c r="K483" s="560">
        <f t="shared" si="206"/>
        <v>0</v>
      </c>
      <c r="L483" s="560">
        <f t="shared" si="206"/>
        <v>0</v>
      </c>
      <c r="M483" s="560">
        <f t="shared" si="206"/>
        <v>0</v>
      </c>
      <c r="N483" s="560">
        <f t="shared" si="206"/>
        <v>0</v>
      </c>
      <c r="O483" s="560">
        <f t="shared" si="206"/>
        <v>0</v>
      </c>
      <c r="P483" s="560">
        <f t="shared" si="206"/>
        <v>0</v>
      </c>
      <c r="Q483" s="560">
        <f t="shared" si="206"/>
        <v>0</v>
      </c>
      <c r="R483" s="560">
        <f t="shared" si="206"/>
        <v>0</v>
      </c>
      <c r="S483" s="560">
        <f t="shared" si="206"/>
        <v>0</v>
      </c>
    </row>
    <row r="484" spans="1:19" ht="13.5" customHeight="1">
      <c r="A484" s="561"/>
      <c r="B484" s="561"/>
      <c r="C484" s="562" t="s">
        <v>297</v>
      </c>
      <c r="D484" s="563">
        <v>500</v>
      </c>
      <c r="E484" s="563">
        <f aca="true" t="shared" si="207" ref="E484:E489">G484+P484</f>
        <v>137.53</v>
      </c>
      <c r="F484" s="563">
        <f t="shared" si="202"/>
        <v>27.506000000000004</v>
      </c>
      <c r="G484" s="563">
        <f aca="true" t="shared" si="208" ref="G484:G489">H484+K484+L484+M484+N484+O484</f>
        <v>137.53</v>
      </c>
      <c r="H484" s="563">
        <f aca="true" t="shared" si="209" ref="H484:H489">SUM(I484:J484)</f>
        <v>137.53</v>
      </c>
      <c r="I484" s="563">
        <v>137.53</v>
      </c>
      <c r="J484" s="563">
        <v>0</v>
      </c>
      <c r="K484" s="563">
        <v>0</v>
      </c>
      <c r="L484" s="563">
        <v>0</v>
      </c>
      <c r="M484" s="563">
        <v>0</v>
      </c>
      <c r="N484" s="563">
        <v>0</v>
      </c>
      <c r="O484" s="563">
        <v>0</v>
      </c>
      <c r="P484" s="563">
        <f aca="true" t="shared" si="210" ref="P484:P489">Q484+S484</f>
        <v>0</v>
      </c>
      <c r="Q484" s="563">
        <v>0</v>
      </c>
      <c r="R484" s="564">
        <v>0</v>
      </c>
      <c r="S484" s="563">
        <v>0</v>
      </c>
    </row>
    <row r="485" spans="1:19" ht="13.5" customHeight="1">
      <c r="A485" s="561"/>
      <c r="B485" s="561"/>
      <c r="C485" s="562" t="s">
        <v>298</v>
      </c>
      <c r="D485" s="563">
        <v>100</v>
      </c>
      <c r="E485" s="563">
        <f t="shared" si="207"/>
        <v>0</v>
      </c>
      <c r="F485" s="563">
        <f>E485/D485*100</f>
        <v>0</v>
      </c>
      <c r="G485" s="563">
        <f t="shared" si="208"/>
        <v>0</v>
      </c>
      <c r="H485" s="563">
        <f t="shared" si="209"/>
        <v>0</v>
      </c>
      <c r="I485" s="563">
        <v>0</v>
      </c>
      <c r="J485" s="563">
        <v>0</v>
      </c>
      <c r="K485" s="563">
        <v>0</v>
      </c>
      <c r="L485" s="563">
        <v>0</v>
      </c>
      <c r="M485" s="563">
        <v>0</v>
      </c>
      <c r="N485" s="563">
        <v>0</v>
      </c>
      <c r="O485" s="563">
        <v>0</v>
      </c>
      <c r="P485" s="563">
        <f t="shared" si="210"/>
        <v>0</v>
      </c>
      <c r="Q485" s="563">
        <v>0</v>
      </c>
      <c r="R485" s="564">
        <v>0</v>
      </c>
      <c r="S485" s="563">
        <v>0</v>
      </c>
    </row>
    <row r="486" spans="1:19" ht="13.5" customHeight="1">
      <c r="A486" s="561"/>
      <c r="B486" s="561"/>
      <c r="C486" s="562" t="s">
        <v>305</v>
      </c>
      <c r="D486" s="563">
        <v>4000</v>
      </c>
      <c r="E486" s="563">
        <f t="shared" si="207"/>
        <v>2020</v>
      </c>
      <c r="F486" s="563">
        <f t="shared" si="202"/>
        <v>50.5</v>
      </c>
      <c r="G486" s="563">
        <f t="shared" si="208"/>
        <v>2020</v>
      </c>
      <c r="H486" s="563">
        <f t="shared" si="209"/>
        <v>2020</v>
      </c>
      <c r="I486" s="563">
        <v>2020</v>
      </c>
      <c r="J486" s="563">
        <v>0</v>
      </c>
      <c r="K486" s="563">
        <v>0</v>
      </c>
      <c r="L486" s="563">
        <v>0</v>
      </c>
      <c r="M486" s="563">
        <v>0</v>
      </c>
      <c r="N486" s="563">
        <v>0</v>
      </c>
      <c r="O486" s="563">
        <v>0</v>
      </c>
      <c r="P486" s="563">
        <f t="shared" si="210"/>
        <v>0</v>
      </c>
      <c r="Q486" s="563">
        <v>0</v>
      </c>
      <c r="R486" s="564">
        <v>0</v>
      </c>
      <c r="S486" s="563">
        <v>0</v>
      </c>
    </row>
    <row r="487" spans="1:19" ht="13.5" customHeight="1">
      <c r="A487" s="561"/>
      <c r="B487" s="561"/>
      <c r="C487" s="562" t="s">
        <v>123</v>
      </c>
      <c r="D487" s="563">
        <v>28900</v>
      </c>
      <c r="E487" s="563">
        <f t="shared" si="207"/>
        <v>26585.57</v>
      </c>
      <c r="F487" s="563">
        <f t="shared" si="202"/>
        <v>91.99159169550173</v>
      </c>
      <c r="G487" s="563">
        <f t="shared" si="208"/>
        <v>26585.57</v>
      </c>
      <c r="H487" s="563">
        <f t="shared" si="209"/>
        <v>26585.57</v>
      </c>
      <c r="I487" s="563">
        <v>0</v>
      </c>
      <c r="J487" s="563">
        <v>26585.57</v>
      </c>
      <c r="K487" s="563">
        <v>0</v>
      </c>
      <c r="L487" s="563">
        <v>0</v>
      </c>
      <c r="M487" s="563">
        <v>0</v>
      </c>
      <c r="N487" s="563">
        <v>0</v>
      </c>
      <c r="O487" s="563">
        <v>0</v>
      </c>
      <c r="P487" s="563">
        <f t="shared" si="210"/>
        <v>0</v>
      </c>
      <c r="Q487" s="563">
        <v>0</v>
      </c>
      <c r="R487" s="564">
        <v>0</v>
      </c>
      <c r="S487" s="563">
        <v>0</v>
      </c>
    </row>
    <row r="488" spans="1:19" ht="13.5" customHeight="1">
      <c r="A488" s="561"/>
      <c r="B488" s="561"/>
      <c r="C488" s="562" t="s">
        <v>125</v>
      </c>
      <c r="D488" s="563">
        <v>19400</v>
      </c>
      <c r="E488" s="563">
        <f t="shared" si="207"/>
        <v>18665.25</v>
      </c>
      <c r="F488" s="563">
        <f t="shared" si="202"/>
        <v>96.21262886597938</v>
      </c>
      <c r="G488" s="563">
        <f t="shared" si="208"/>
        <v>18665.25</v>
      </c>
      <c r="H488" s="563">
        <f t="shared" si="209"/>
        <v>18665.25</v>
      </c>
      <c r="I488" s="563">
        <v>0</v>
      </c>
      <c r="J488" s="563">
        <v>18665.25</v>
      </c>
      <c r="K488" s="563">
        <v>0</v>
      </c>
      <c r="L488" s="563">
        <v>0</v>
      </c>
      <c r="M488" s="563">
        <v>0</v>
      </c>
      <c r="N488" s="563">
        <v>0</v>
      </c>
      <c r="O488" s="563">
        <v>0</v>
      </c>
      <c r="P488" s="563">
        <f t="shared" si="210"/>
        <v>0</v>
      </c>
      <c r="Q488" s="563">
        <v>0</v>
      </c>
      <c r="R488" s="564">
        <v>0</v>
      </c>
      <c r="S488" s="563">
        <v>0</v>
      </c>
    </row>
    <row r="489" spans="1:19" ht="13.5" customHeight="1">
      <c r="A489" s="561"/>
      <c r="B489" s="561"/>
      <c r="C489" s="562" t="s">
        <v>303</v>
      </c>
      <c r="D489" s="563">
        <v>500</v>
      </c>
      <c r="E489" s="563">
        <f t="shared" si="207"/>
        <v>0</v>
      </c>
      <c r="F489" s="563">
        <f>E489/D489*100</f>
        <v>0</v>
      </c>
      <c r="G489" s="563">
        <f t="shared" si="208"/>
        <v>0</v>
      </c>
      <c r="H489" s="563">
        <f t="shared" si="209"/>
        <v>0</v>
      </c>
      <c r="I489" s="563">
        <v>0</v>
      </c>
      <c r="J489" s="563">
        <v>0</v>
      </c>
      <c r="K489" s="563">
        <v>0</v>
      </c>
      <c r="L489" s="563">
        <v>0</v>
      </c>
      <c r="M489" s="563">
        <v>0</v>
      </c>
      <c r="N489" s="563">
        <v>0</v>
      </c>
      <c r="O489" s="563">
        <v>0</v>
      </c>
      <c r="P489" s="563">
        <f t="shared" si="210"/>
        <v>0</v>
      </c>
      <c r="Q489" s="563">
        <v>0</v>
      </c>
      <c r="R489" s="564">
        <v>0</v>
      </c>
      <c r="S489" s="563">
        <v>0</v>
      </c>
    </row>
    <row r="490" spans="1:19" ht="13.5" customHeight="1">
      <c r="A490" s="561"/>
      <c r="B490" s="554" t="s">
        <v>275</v>
      </c>
      <c r="C490" s="554"/>
      <c r="D490" s="560">
        <f>SUM(D491:D494)</f>
        <v>10000</v>
      </c>
      <c r="E490" s="560">
        <f>SUM(E491:E494)</f>
        <v>9989.439999999999</v>
      </c>
      <c r="F490" s="560">
        <f t="shared" si="202"/>
        <v>99.89439999999999</v>
      </c>
      <c r="G490" s="560">
        <f aca="true" t="shared" si="211" ref="G490:S490">SUM(G491:G494)</f>
        <v>9989.439999999999</v>
      </c>
      <c r="H490" s="560">
        <f t="shared" si="211"/>
        <v>9989.439999999999</v>
      </c>
      <c r="I490" s="560">
        <f t="shared" si="211"/>
        <v>0</v>
      </c>
      <c r="J490" s="560">
        <f t="shared" si="211"/>
        <v>9989.439999999999</v>
      </c>
      <c r="K490" s="560">
        <f t="shared" si="211"/>
        <v>0</v>
      </c>
      <c r="L490" s="560">
        <f t="shared" si="211"/>
        <v>0</v>
      </c>
      <c r="M490" s="560">
        <f t="shared" si="211"/>
        <v>0</v>
      </c>
      <c r="N490" s="560">
        <f t="shared" si="211"/>
        <v>0</v>
      </c>
      <c r="O490" s="560">
        <f t="shared" si="211"/>
        <v>0</v>
      </c>
      <c r="P490" s="560">
        <f t="shared" si="211"/>
        <v>0</v>
      </c>
      <c r="Q490" s="560">
        <f t="shared" si="211"/>
        <v>0</v>
      </c>
      <c r="R490" s="560">
        <f t="shared" si="211"/>
        <v>0</v>
      </c>
      <c r="S490" s="560">
        <f t="shared" si="211"/>
        <v>0</v>
      </c>
    </row>
    <row r="491" spans="1:19" ht="13.5" customHeight="1">
      <c r="A491" s="561"/>
      <c r="B491" s="561"/>
      <c r="C491" s="562" t="s">
        <v>123</v>
      </c>
      <c r="D491" s="563">
        <v>5000</v>
      </c>
      <c r="E491" s="563">
        <f>G491+P491</f>
        <v>5000</v>
      </c>
      <c r="F491" s="563">
        <f>E491/D491*100</f>
        <v>100</v>
      </c>
      <c r="G491" s="563">
        <f>H491+K491+L491+M491+N491+O491</f>
        <v>5000</v>
      </c>
      <c r="H491" s="563">
        <f>SUM(I491:J491)</f>
        <v>5000</v>
      </c>
      <c r="I491" s="563">
        <v>0</v>
      </c>
      <c r="J491" s="563">
        <v>5000</v>
      </c>
      <c r="K491" s="563">
        <v>0</v>
      </c>
      <c r="L491" s="563">
        <v>0</v>
      </c>
      <c r="M491" s="563">
        <v>0</v>
      </c>
      <c r="N491" s="563">
        <v>0</v>
      </c>
      <c r="O491" s="563">
        <v>0</v>
      </c>
      <c r="P491" s="563">
        <f>Q491+S491</f>
        <v>0</v>
      </c>
      <c r="Q491" s="563">
        <v>0</v>
      </c>
      <c r="R491" s="564">
        <v>0</v>
      </c>
      <c r="S491" s="563">
        <v>0</v>
      </c>
    </row>
    <row r="492" spans="1:19" ht="13.5" customHeight="1">
      <c r="A492" s="561"/>
      <c r="B492" s="561"/>
      <c r="C492" s="562" t="s">
        <v>125</v>
      </c>
      <c r="D492" s="563">
        <v>4200</v>
      </c>
      <c r="E492" s="563">
        <f>G492+P492</f>
        <v>4200</v>
      </c>
      <c r="F492" s="563">
        <f>E492/D492*100</f>
        <v>100</v>
      </c>
      <c r="G492" s="563">
        <f>H492+K492+L492+M492+N492+O492</f>
        <v>4200</v>
      </c>
      <c r="H492" s="563">
        <f>SUM(I492:J492)</f>
        <v>4200</v>
      </c>
      <c r="I492" s="563">
        <v>0</v>
      </c>
      <c r="J492" s="563">
        <v>4200</v>
      </c>
      <c r="K492" s="563">
        <v>0</v>
      </c>
      <c r="L492" s="563">
        <v>0</v>
      </c>
      <c r="M492" s="563">
        <v>0</v>
      </c>
      <c r="N492" s="563">
        <v>0</v>
      </c>
      <c r="O492" s="563">
        <v>0</v>
      </c>
      <c r="P492" s="563">
        <f>Q492+S492</f>
        <v>0</v>
      </c>
      <c r="Q492" s="563">
        <v>0</v>
      </c>
      <c r="R492" s="564">
        <v>0</v>
      </c>
      <c r="S492" s="563">
        <v>0</v>
      </c>
    </row>
    <row r="493" spans="1:19" ht="13.5" customHeight="1">
      <c r="A493" s="561"/>
      <c r="B493" s="561"/>
      <c r="C493" s="562" t="s">
        <v>302</v>
      </c>
      <c r="D493" s="563">
        <v>199</v>
      </c>
      <c r="E493" s="563">
        <f>G493+P493</f>
        <v>188.88</v>
      </c>
      <c r="F493" s="563">
        <f>E493/D493*100</f>
        <v>94.9145728643216</v>
      </c>
      <c r="G493" s="563">
        <f>H493+K493+L493+M493+N493+O493</f>
        <v>188.88</v>
      </c>
      <c r="H493" s="563">
        <f>SUM(I493:J493)</f>
        <v>188.88</v>
      </c>
      <c r="I493" s="563">
        <v>0</v>
      </c>
      <c r="J493" s="563">
        <v>188.88</v>
      </c>
      <c r="K493" s="563">
        <v>0</v>
      </c>
      <c r="L493" s="563">
        <v>0</v>
      </c>
      <c r="M493" s="563">
        <v>0</v>
      </c>
      <c r="N493" s="563">
        <v>0</v>
      </c>
      <c r="O493" s="563">
        <v>0</v>
      </c>
      <c r="P493" s="563">
        <f>Q493+S493</f>
        <v>0</v>
      </c>
      <c r="Q493" s="563">
        <v>0</v>
      </c>
      <c r="R493" s="564">
        <v>0</v>
      </c>
      <c r="S493" s="563">
        <v>0</v>
      </c>
    </row>
    <row r="494" spans="1:19" ht="13.5" customHeight="1">
      <c r="A494" s="561"/>
      <c r="B494" s="561"/>
      <c r="C494" s="562" t="s">
        <v>303</v>
      </c>
      <c r="D494" s="563">
        <v>601</v>
      </c>
      <c r="E494" s="563">
        <f>G494+P494</f>
        <v>600.56</v>
      </c>
      <c r="F494" s="563">
        <f>E494/D494*100</f>
        <v>99.92678868552412</v>
      </c>
      <c r="G494" s="563">
        <f>H494+K494+L494+M494+N494+O494</f>
        <v>600.56</v>
      </c>
      <c r="H494" s="563">
        <f>SUM(I494:J494)</f>
        <v>600.56</v>
      </c>
      <c r="I494" s="563">
        <v>0</v>
      </c>
      <c r="J494" s="563">
        <v>600.56</v>
      </c>
      <c r="K494" s="563">
        <v>0</v>
      </c>
      <c r="L494" s="563">
        <v>0</v>
      </c>
      <c r="M494" s="563">
        <v>0</v>
      </c>
      <c r="N494" s="563">
        <v>0</v>
      </c>
      <c r="O494" s="563">
        <v>0</v>
      </c>
      <c r="P494" s="563">
        <f>Q494+S494</f>
        <v>0</v>
      </c>
      <c r="Q494" s="563">
        <v>0</v>
      </c>
      <c r="R494" s="564">
        <v>0</v>
      </c>
      <c r="S494" s="563">
        <v>0</v>
      </c>
    </row>
    <row r="495" spans="1:19" s="565" customFormat="1" ht="16.5" customHeight="1">
      <c r="A495" s="803" t="s">
        <v>286</v>
      </c>
      <c r="B495" s="803"/>
      <c r="C495" s="803"/>
      <c r="D495" s="560">
        <f>D13+D16+D23+D36+D40+D46+D62+D117+D132+D135+D139+D255+D272+D328+D387+D462+D470+D482</f>
        <v>57270928</v>
      </c>
      <c r="E495" s="560">
        <f>E13+E16+E23+E36+E40+E46+E62+E117+E132+E135+E139+E255+E272+E328+E387+E462+E470+E482</f>
        <v>54290986.05000001</v>
      </c>
      <c r="F495" s="560">
        <f>E495/D495*100</f>
        <v>94.79676328974452</v>
      </c>
      <c r="G495" s="560">
        <f aca="true" t="shared" si="212" ref="G495:S495">G13+G16+G23+G36+G40+G46+G62+G117+G132+G135+G139+G255+G272+G328+G387+G462+G470+G482</f>
        <v>48270373.29000002</v>
      </c>
      <c r="H495" s="560">
        <f t="shared" si="212"/>
        <v>40177709.13000001</v>
      </c>
      <c r="I495" s="560">
        <f t="shared" si="212"/>
        <v>31850762.040000007</v>
      </c>
      <c r="J495" s="560">
        <f t="shared" si="212"/>
        <v>8326947.09</v>
      </c>
      <c r="K495" s="560">
        <f t="shared" si="212"/>
        <v>2509928.1700000004</v>
      </c>
      <c r="L495" s="560">
        <f t="shared" si="212"/>
        <v>3845180.3499999996</v>
      </c>
      <c r="M495" s="560">
        <f t="shared" si="212"/>
        <v>749363.04</v>
      </c>
      <c r="N495" s="560">
        <f t="shared" si="212"/>
        <v>0</v>
      </c>
      <c r="O495" s="560">
        <f t="shared" si="212"/>
        <v>988192.6</v>
      </c>
      <c r="P495" s="560">
        <f t="shared" si="212"/>
        <v>6020612.759999999</v>
      </c>
      <c r="Q495" s="560">
        <f t="shared" si="212"/>
        <v>6020612.759999999</v>
      </c>
      <c r="R495" s="560">
        <f t="shared" si="212"/>
        <v>0</v>
      </c>
      <c r="S495" s="560">
        <f t="shared" si="212"/>
        <v>0</v>
      </c>
    </row>
  </sheetData>
  <sheetProtection/>
  <mergeCells count="25">
    <mergeCell ref="A495:C495"/>
    <mergeCell ref="K10:K12"/>
    <mergeCell ref="L10:L12"/>
    <mergeCell ref="M10:M12"/>
    <mergeCell ref="B7:B12"/>
    <mergeCell ref="G8:G12"/>
    <mergeCell ref="H8:O9"/>
    <mergeCell ref="D7:D12"/>
    <mergeCell ref="A2:S2"/>
    <mergeCell ref="A3:S3"/>
    <mergeCell ref="Q8:S8"/>
    <mergeCell ref="R9:R10"/>
    <mergeCell ref="A7:A12"/>
    <mergeCell ref="S9:S12"/>
    <mergeCell ref="H10:H12"/>
    <mergeCell ref="I10:J11"/>
    <mergeCell ref="C7:C12"/>
    <mergeCell ref="N10:N12"/>
    <mergeCell ref="P8:P12"/>
    <mergeCell ref="E7:E12"/>
    <mergeCell ref="F7:S7"/>
    <mergeCell ref="O10:O12"/>
    <mergeCell ref="Q9:Q12"/>
    <mergeCell ref="F8:F12"/>
    <mergeCell ref="R11:R12"/>
  </mergeCells>
  <printOptions horizontalCentered="1"/>
  <pageMargins left="0.2755905511811024" right="0.2755905511811024" top="0.5118110236220472" bottom="0.5118110236220472" header="0.5118110236220472" footer="0"/>
  <pageSetup firstPageNumber="73" useFirstPageNumber="1" horizontalDpi="600" verticalDpi="600" orientation="landscape" paperSize="9" r:id="rId1"/>
  <headerFooter alignWithMargins="0">
    <oddFooter>&amp;L&amp;P</oddFooter>
  </headerFooter>
  <rowBreaks count="2" manualBreakCount="2">
    <brk id="35" max="255" man="1"/>
    <brk id="3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zoomScale="130" zoomScaleNormal="130" zoomScalePageLayoutView="0" workbookViewId="0" topLeftCell="A7">
      <pane ySplit="3570" topLeftCell="A88" activePane="bottomLeft" state="split"/>
      <selection pane="topLeft" activeCell="A4" sqref="A4"/>
      <selection pane="bottomLeft" activeCell="J99" sqref="J99"/>
    </sheetView>
  </sheetViews>
  <sheetFormatPr defaultColWidth="9.00390625" defaultRowHeight="12.75"/>
  <cols>
    <col min="1" max="1" width="3.75390625" style="552" customWidth="1"/>
    <col min="2" max="2" width="5.875" style="552" customWidth="1"/>
    <col min="3" max="3" width="4.875" style="552" customWidth="1"/>
    <col min="4" max="4" width="8.625" style="552" customWidth="1"/>
    <col min="5" max="5" width="8.375" style="552" customWidth="1"/>
    <col min="6" max="6" width="4.25390625" style="552" customWidth="1"/>
    <col min="7" max="7" width="8.375" style="552" customWidth="1"/>
    <col min="8" max="8" width="8.75390625" style="552" customWidth="1"/>
    <col min="9" max="9" width="9.375" style="552" customWidth="1"/>
    <col min="10" max="10" width="8.75390625" style="552" customWidth="1"/>
    <col min="11" max="12" width="7.625" style="552" customWidth="1"/>
    <col min="13" max="13" width="8.00390625" style="552" customWidth="1"/>
    <col min="14" max="15" width="7.625" style="552" customWidth="1"/>
    <col min="16" max="16" width="9.25390625" style="552" customWidth="1"/>
    <col min="17" max="17" width="8.00390625" style="552" customWidth="1"/>
    <col min="18" max="18" width="8.375" style="552" customWidth="1"/>
    <col min="19" max="19" width="8.00390625" style="552" customWidth="1"/>
    <col min="20" max="16384" width="9.125" style="552" customWidth="1"/>
  </cols>
  <sheetData>
    <row r="1" ht="12.75">
      <c r="S1" s="482" t="s">
        <v>117</v>
      </c>
    </row>
    <row r="2" spans="1:19" ht="18.75" customHeight="1">
      <c r="A2" s="816" t="s">
        <v>74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</row>
    <row r="3" spans="1:19" ht="18" customHeight="1">
      <c r="A3" s="816" t="s">
        <v>637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</row>
    <row r="5" ht="12.75">
      <c r="A5" s="553" t="s">
        <v>293</v>
      </c>
    </row>
    <row r="6" ht="13.5" thickBot="1"/>
    <row r="7" spans="1:19" ht="9.75" customHeight="1" thickTop="1">
      <c r="A7" s="820" t="s">
        <v>131</v>
      </c>
      <c r="B7" s="825" t="s">
        <v>132</v>
      </c>
      <c r="C7" s="825" t="s">
        <v>230</v>
      </c>
      <c r="D7" s="826" t="s">
        <v>121</v>
      </c>
      <c r="E7" s="805" t="s">
        <v>122</v>
      </c>
      <c r="F7" s="808" t="s">
        <v>276</v>
      </c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10"/>
    </row>
    <row r="8" spans="1:19" ht="11.25" customHeight="1">
      <c r="A8" s="821"/>
      <c r="B8" s="803"/>
      <c r="C8" s="803"/>
      <c r="D8" s="811"/>
      <c r="E8" s="806"/>
      <c r="F8" s="811" t="s">
        <v>13</v>
      </c>
      <c r="G8" s="802" t="s">
        <v>277</v>
      </c>
      <c r="H8" s="802" t="s">
        <v>278</v>
      </c>
      <c r="I8" s="802"/>
      <c r="J8" s="802"/>
      <c r="K8" s="802"/>
      <c r="L8" s="802"/>
      <c r="M8" s="802"/>
      <c r="N8" s="802"/>
      <c r="O8" s="802"/>
      <c r="P8" s="802" t="s">
        <v>279</v>
      </c>
      <c r="Q8" s="817" t="s">
        <v>278</v>
      </c>
      <c r="R8" s="818"/>
      <c r="S8" s="819"/>
    </row>
    <row r="9" spans="1:19" ht="6.75" customHeight="1">
      <c r="A9" s="821"/>
      <c r="B9" s="803"/>
      <c r="C9" s="803"/>
      <c r="D9" s="811"/>
      <c r="E9" s="806"/>
      <c r="F9" s="812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 t="s">
        <v>280</v>
      </c>
      <c r="R9" s="814" t="s">
        <v>78</v>
      </c>
      <c r="S9" s="823" t="s">
        <v>291</v>
      </c>
    </row>
    <row r="10" spans="1:19" ht="5.25" customHeight="1">
      <c r="A10" s="821"/>
      <c r="B10" s="803"/>
      <c r="C10" s="803"/>
      <c r="D10" s="811"/>
      <c r="E10" s="806"/>
      <c r="F10" s="812"/>
      <c r="G10" s="803"/>
      <c r="H10" s="803" t="s">
        <v>288</v>
      </c>
      <c r="I10" s="803" t="s">
        <v>278</v>
      </c>
      <c r="J10" s="803"/>
      <c r="K10" s="803" t="s">
        <v>281</v>
      </c>
      <c r="L10" s="803" t="s">
        <v>290</v>
      </c>
      <c r="M10" s="803" t="s">
        <v>282</v>
      </c>
      <c r="N10" s="803" t="s">
        <v>283</v>
      </c>
      <c r="O10" s="803" t="s">
        <v>284</v>
      </c>
      <c r="P10" s="803"/>
      <c r="Q10" s="803"/>
      <c r="R10" s="802"/>
      <c r="S10" s="823"/>
    </row>
    <row r="11" spans="1:19" ht="6" customHeight="1">
      <c r="A11" s="821"/>
      <c r="B11" s="803"/>
      <c r="C11" s="803"/>
      <c r="D11" s="811"/>
      <c r="E11" s="806"/>
      <c r="F11" s="812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14" t="s">
        <v>292</v>
      </c>
      <c r="S11" s="823"/>
    </row>
    <row r="12" spans="1:19" ht="85.5" customHeight="1" thickBot="1">
      <c r="A12" s="822"/>
      <c r="B12" s="804"/>
      <c r="C12" s="804"/>
      <c r="D12" s="815"/>
      <c r="E12" s="807"/>
      <c r="F12" s="813"/>
      <c r="G12" s="804"/>
      <c r="H12" s="804"/>
      <c r="I12" s="558" t="s">
        <v>285</v>
      </c>
      <c r="J12" s="558" t="s">
        <v>289</v>
      </c>
      <c r="K12" s="804"/>
      <c r="L12" s="804"/>
      <c r="M12" s="804"/>
      <c r="N12" s="804"/>
      <c r="O12" s="804"/>
      <c r="P12" s="804"/>
      <c r="Q12" s="804"/>
      <c r="R12" s="815"/>
      <c r="S12" s="824"/>
    </row>
    <row r="13" spans="1:19" s="566" customFormat="1" ht="13.5" customHeight="1" thickTop="1">
      <c r="A13" s="555" t="s">
        <v>31</v>
      </c>
      <c r="B13" s="555"/>
      <c r="C13" s="556"/>
      <c r="D13" s="559">
        <f>D14</f>
        <v>22337</v>
      </c>
      <c r="E13" s="559">
        <f>E14</f>
        <v>22336.8</v>
      </c>
      <c r="F13" s="559">
        <f aca="true" t="shared" si="0" ref="F13:F22">E13/D13*100</f>
        <v>99.99910462461386</v>
      </c>
      <c r="G13" s="559">
        <f aca="true" t="shared" si="1" ref="G13:S13">G14</f>
        <v>22336.8</v>
      </c>
      <c r="H13" s="559">
        <f t="shared" si="1"/>
        <v>22336.8</v>
      </c>
      <c r="I13" s="559">
        <f t="shared" si="1"/>
        <v>0</v>
      </c>
      <c r="J13" s="559">
        <f t="shared" si="1"/>
        <v>22336.8</v>
      </c>
      <c r="K13" s="559">
        <f t="shared" si="1"/>
        <v>0</v>
      </c>
      <c r="L13" s="559">
        <f t="shared" si="1"/>
        <v>0</v>
      </c>
      <c r="M13" s="559">
        <f t="shared" si="1"/>
        <v>0</v>
      </c>
      <c r="N13" s="559">
        <f t="shared" si="1"/>
        <v>0</v>
      </c>
      <c r="O13" s="559">
        <f t="shared" si="1"/>
        <v>0</v>
      </c>
      <c r="P13" s="559">
        <f t="shared" si="1"/>
        <v>0</v>
      </c>
      <c r="Q13" s="559">
        <f t="shared" si="1"/>
        <v>0</v>
      </c>
      <c r="R13" s="559">
        <f t="shared" si="1"/>
        <v>0</v>
      </c>
      <c r="S13" s="559">
        <f t="shared" si="1"/>
        <v>0</v>
      </c>
    </row>
    <row r="14" spans="1:19" s="566" customFormat="1" ht="13.5" customHeight="1">
      <c r="A14" s="557"/>
      <c r="B14" s="554" t="s">
        <v>71</v>
      </c>
      <c r="C14" s="554"/>
      <c r="D14" s="560">
        <f>SUM(D15:D15)</f>
        <v>22337</v>
      </c>
      <c r="E14" s="560">
        <f>SUM(E15:E15)</f>
        <v>22336.8</v>
      </c>
      <c r="F14" s="560">
        <f t="shared" si="0"/>
        <v>99.99910462461386</v>
      </c>
      <c r="G14" s="560">
        <f aca="true" t="shared" si="2" ref="G14:S14">SUM(G15:G15)</f>
        <v>22336.8</v>
      </c>
      <c r="H14" s="560">
        <f t="shared" si="2"/>
        <v>22336.8</v>
      </c>
      <c r="I14" s="560">
        <f t="shared" si="2"/>
        <v>0</v>
      </c>
      <c r="J14" s="560">
        <f t="shared" si="2"/>
        <v>22336.8</v>
      </c>
      <c r="K14" s="560">
        <f t="shared" si="2"/>
        <v>0</v>
      </c>
      <c r="L14" s="560">
        <f t="shared" si="2"/>
        <v>0</v>
      </c>
      <c r="M14" s="560">
        <f t="shared" si="2"/>
        <v>0</v>
      </c>
      <c r="N14" s="560">
        <f t="shared" si="2"/>
        <v>0</v>
      </c>
      <c r="O14" s="560">
        <f t="shared" si="2"/>
        <v>0</v>
      </c>
      <c r="P14" s="560">
        <f t="shared" si="2"/>
        <v>0</v>
      </c>
      <c r="Q14" s="560">
        <f t="shared" si="2"/>
        <v>0</v>
      </c>
      <c r="R14" s="560">
        <f t="shared" si="2"/>
        <v>0</v>
      </c>
      <c r="S14" s="560">
        <f t="shared" si="2"/>
        <v>0</v>
      </c>
    </row>
    <row r="15" spans="1:19" ht="13.5" customHeight="1">
      <c r="A15" s="561"/>
      <c r="B15" s="561"/>
      <c r="C15" s="562" t="s">
        <v>125</v>
      </c>
      <c r="D15" s="563">
        <v>22337</v>
      </c>
      <c r="E15" s="563">
        <f>G15+P15</f>
        <v>22336.8</v>
      </c>
      <c r="F15" s="563">
        <f t="shared" si="0"/>
        <v>99.99910462461386</v>
      </c>
      <c r="G15" s="563">
        <f>H15+K15+L15+M15+N15+O15</f>
        <v>22336.8</v>
      </c>
      <c r="H15" s="563">
        <f>SUM(I15:J15)</f>
        <v>22336.8</v>
      </c>
      <c r="I15" s="563">
        <v>0</v>
      </c>
      <c r="J15" s="563">
        <v>22336.8</v>
      </c>
      <c r="K15" s="563">
        <v>0</v>
      </c>
      <c r="L15" s="563">
        <v>0</v>
      </c>
      <c r="M15" s="563">
        <v>0</v>
      </c>
      <c r="N15" s="563">
        <v>0</v>
      </c>
      <c r="O15" s="563">
        <v>0</v>
      </c>
      <c r="P15" s="563">
        <f>Q15+S15</f>
        <v>0</v>
      </c>
      <c r="Q15" s="563">
        <v>0</v>
      </c>
      <c r="R15" s="564">
        <v>0</v>
      </c>
      <c r="S15" s="563">
        <v>0</v>
      </c>
    </row>
    <row r="16" spans="1:19" ht="13.5" customHeight="1">
      <c r="A16" s="557" t="s">
        <v>17</v>
      </c>
      <c r="B16" s="557"/>
      <c r="C16" s="556"/>
      <c r="D16" s="559">
        <f>D17</f>
        <v>62000</v>
      </c>
      <c r="E16" s="559">
        <f>E17</f>
        <v>61998.27</v>
      </c>
      <c r="F16" s="559">
        <f t="shared" si="0"/>
        <v>99.99720967741935</v>
      </c>
      <c r="G16" s="559">
        <f aca="true" t="shared" si="3" ref="G16:S16">G17</f>
        <v>61998.27</v>
      </c>
      <c r="H16" s="559">
        <f t="shared" si="3"/>
        <v>61998.27</v>
      </c>
      <c r="I16" s="559">
        <f t="shared" si="3"/>
        <v>20675</v>
      </c>
      <c r="J16" s="559">
        <f t="shared" si="3"/>
        <v>41323.27</v>
      </c>
      <c r="K16" s="559">
        <f t="shared" si="3"/>
        <v>0</v>
      </c>
      <c r="L16" s="559">
        <f t="shared" si="3"/>
        <v>0</v>
      </c>
      <c r="M16" s="559">
        <f t="shared" si="3"/>
        <v>0</v>
      </c>
      <c r="N16" s="559">
        <f t="shared" si="3"/>
        <v>0</v>
      </c>
      <c r="O16" s="559">
        <f t="shared" si="3"/>
        <v>0</v>
      </c>
      <c r="P16" s="559">
        <f t="shared" si="3"/>
        <v>0</v>
      </c>
      <c r="Q16" s="559">
        <f t="shared" si="3"/>
        <v>0</v>
      </c>
      <c r="R16" s="559">
        <f t="shared" si="3"/>
        <v>0</v>
      </c>
      <c r="S16" s="559">
        <f t="shared" si="3"/>
        <v>0</v>
      </c>
    </row>
    <row r="17" spans="1:19" ht="13.5" customHeight="1">
      <c r="A17" s="557"/>
      <c r="B17" s="554" t="s">
        <v>18</v>
      </c>
      <c r="C17" s="554"/>
      <c r="D17" s="560">
        <f>SUM(D18:D23)</f>
        <v>62000</v>
      </c>
      <c r="E17" s="560">
        <f>SUM(E18:E23)</f>
        <v>61998.27</v>
      </c>
      <c r="F17" s="560">
        <f t="shared" si="0"/>
        <v>99.99720967741935</v>
      </c>
      <c r="G17" s="560">
        <f aca="true" t="shared" si="4" ref="G17:S17">SUM(G18:G23)</f>
        <v>61998.27</v>
      </c>
      <c r="H17" s="560">
        <f t="shared" si="4"/>
        <v>61998.27</v>
      </c>
      <c r="I17" s="560">
        <f t="shared" si="4"/>
        <v>20675</v>
      </c>
      <c r="J17" s="560">
        <f t="shared" si="4"/>
        <v>41323.27</v>
      </c>
      <c r="K17" s="560">
        <f t="shared" si="4"/>
        <v>0</v>
      </c>
      <c r="L17" s="560">
        <f t="shared" si="4"/>
        <v>0</v>
      </c>
      <c r="M17" s="560">
        <f t="shared" si="4"/>
        <v>0</v>
      </c>
      <c r="N17" s="560">
        <f t="shared" si="4"/>
        <v>0</v>
      </c>
      <c r="O17" s="560">
        <f t="shared" si="4"/>
        <v>0</v>
      </c>
      <c r="P17" s="560">
        <f t="shared" si="4"/>
        <v>0</v>
      </c>
      <c r="Q17" s="560">
        <f t="shared" si="4"/>
        <v>0</v>
      </c>
      <c r="R17" s="560">
        <f t="shared" si="4"/>
        <v>0</v>
      </c>
      <c r="S17" s="560">
        <f t="shared" si="4"/>
        <v>0</v>
      </c>
    </row>
    <row r="18" spans="1:19" ht="13.5" customHeight="1">
      <c r="A18" s="561"/>
      <c r="B18" s="561"/>
      <c r="C18" s="567" t="s">
        <v>295</v>
      </c>
      <c r="D18" s="568">
        <v>17000</v>
      </c>
      <c r="E18" s="563">
        <f aca="true" t="shared" si="5" ref="E18:E23">G18+P18</f>
        <v>17000</v>
      </c>
      <c r="F18" s="568">
        <f t="shared" si="0"/>
        <v>100</v>
      </c>
      <c r="G18" s="568">
        <f aca="true" t="shared" si="6" ref="G18:G23">H18+K18+L18+M18+N18+O18</f>
        <v>17000</v>
      </c>
      <c r="H18" s="568">
        <f aca="true" t="shared" si="7" ref="H18:H23">SUM(I18:J18)</f>
        <v>17000</v>
      </c>
      <c r="I18" s="568">
        <v>17000</v>
      </c>
      <c r="J18" s="568">
        <v>0</v>
      </c>
      <c r="K18" s="568">
        <v>0</v>
      </c>
      <c r="L18" s="568">
        <v>0</v>
      </c>
      <c r="M18" s="568">
        <v>0</v>
      </c>
      <c r="N18" s="568">
        <v>0</v>
      </c>
      <c r="O18" s="568">
        <v>0</v>
      </c>
      <c r="P18" s="568">
        <f aca="true" t="shared" si="8" ref="P18:P23">Q18+S18</f>
        <v>0</v>
      </c>
      <c r="Q18" s="568">
        <v>0</v>
      </c>
      <c r="R18" s="569">
        <v>0</v>
      </c>
      <c r="S18" s="568">
        <v>0</v>
      </c>
    </row>
    <row r="19" spans="1:19" ht="13.5" customHeight="1">
      <c r="A19" s="561"/>
      <c r="B19" s="561"/>
      <c r="C19" s="567" t="s">
        <v>297</v>
      </c>
      <c r="D19" s="568">
        <v>3000</v>
      </c>
      <c r="E19" s="568">
        <f t="shared" si="5"/>
        <v>3000</v>
      </c>
      <c r="F19" s="568">
        <f t="shared" si="0"/>
        <v>100</v>
      </c>
      <c r="G19" s="568">
        <f t="shared" si="6"/>
        <v>3000</v>
      </c>
      <c r="H19" s="568">
        <f t="shared" si="7"/>
        <v>3000</v>
      </c>
      <c r="I19" s="568">
        <v>3000</v>
      </c>
      <c r="J19" s="568">
        <v>0</v>
      </c>
      <c r="K19" s="568">
        <v>0</v>
      </c>
      <c r="L19" s="568">
        <v>0</v>
      </c>
      <c r="M19" s="568">
        <v>0</v>
      </c>
      <c r="N19" s="568">
        <v>0</v>
      </c>
      <c r="O19" s="568">
        <v>0</v>
      </c>
      <c r="P19" s="568">
        <f t="shared" si="8"/>
        <v>0</v>
      </c>
      <c r="Q19" s="568">
        <v>0</v>
      </c>
      <c r="R19" s="569">
        <v>0</v>
      </c>
      <c r="S19" s="568">
        <v>0</v>
      </c>
    </row>
    <row r="20" spans="1:19" ht="13.5" customHeight="1">
      <c r="A20" s="561"/>
      <c r="B20" s="561"/>
      <c r="C20" s="567" t="s">
        <v>298</v>
      </c>
      <c r="D20" s="568">
        <v>675</v>
      </c>
      <c r="E20" s="568">
        <f t="shared" si="5"/>
        <v>675</v>
      </c>
      <c r="F20" s="568">
        <f t="shared" si="0"/>
        <v>100</v>
      </c>
      <c r="G20" s="568">
        <f t="shared" si="6"/>
        <v>675</v>
      </c>
      <c r="H20" s="568">
        <f t="shared" si="7"/>
        <v>675</v>
      </c>
      <c r="I20" s="568">
        <v>675</v>
      </c>
      <c r="J20" s="568">
        <v>0</v>
      </c>
      <c r="K20" s="568">
        <v>0</v>
      </c>
      <c r="L20" s="568">
        <v>0</v>
      </c>
      <c r="M20" s="568">
        <v>0</v>
      </c>
      <c r="N20" s="568">
        <v>0</v>
      </c>
      <c r="O20" s="568">
        <v>0</v>
      </c>
      <c r="P20" s="568">
        <f t="shared" si="8"/>
        <v>0</v>
      </c>
      <c r="Q20" s="568">
        <v>0</v>
      </c>
      <c r="R20" s="569">
        <v>0</v>
      </c>
      <c r="S20" s="568">
        <v>0</v>
      </c>
    </row>
    <row r="21" spans="1:19" ht="13.5" customHeight="1">
      <c r="A21" s="561"/>
      <c r="B21" s="561"/>
      <c r="C21" s="567" t="s">
        <v>123</v>
      </c>
      <c r="D21" s="568">
        <v>351</v>
      </c>
      <c r="E21" s="568">
        <f t="shared" si="5"/>
        <v>349.71</v>
      </c>
      <c r="F21" s="568">
        <f>E21/D21*100</f>
        <v>99.63247863247862</v>
      </c>
      <c r="G21" s="568">
        <f t="shared" si="6"/>
        <v>349.71</v>
      </c>
      <c r="H21" s="568">
        <f t="shared" si="7"/>
        <v>349.71</v>
      </c>
      <c r="I21" s="568">
        <v>0</v>
      </c>
      <c r="J21" s="568">
        <v>349.71</v>
      </c>
      <c r="K21" s="568">
        <v>0</v>
      </c>
      <c r="L21" s="568">
        <v>0</v>
      </c>
      <c r="M21" s="568">
        <v>0</v>
      </c>
      <c r="N21" s="568">
        <v>0</v>
      </c>
      <c r="O21" s="568">
        <v>0</v>
      </c>
      <c r="P21" s="568">
        <f t="shared" si="8"/>
        <v>0</v>
      </c>
      <c r="Q21" s="568">
        <v>0</v>
      </c>
      <c r="R21" s="569">
        <v>0</v>
      </c>
      <c r="S21" s="568">
        <v>0</v>
      </c>
    </row>
    <row r="22" spans="1:19" ht="13.5" customHeight="1">
      <c r="A22" s="561"/>
      <c r="B22" s="561"/>
      <c r="C22" s="567" t="s">
        <v>125</v>
      </c>
      <c r="D22" s="568">
        <v>40311</v>
      </c>
      <c r="E22" s="568">
        <f t="shared" si="5"/>
        <v>40310.46</v>
      </c>
      <c r="F22" s="568">
        <f t="shared" si="0"/>
        <v>99.99866041527127</v>
      </c>
      <c r="G22" s="568">
        <f t="shared" si="6"/>
        <v>40310.46</v>
      </c>
      <c r="H22" s="568">
        <f t="shared" si="7"/>
        <v>40310.46</v>
      </c>
      <c r="I22" s="568">
        <v>0</v>
      </c>
      <c r="J22" s="568">
        <v>40310.46</v>
      </c>
      <c r="K22" s="568">
        <v>0</v>
      </c>
      <c r="L22" s="568">
        <v>0</v>
      </c>
      <c r="M22" s="568">
        <v>0</v>
      </c>
      <c r="N22" s="568">
        <v>0</v>
      </c>
      <c r="O22" s="568">
        <v>0</v>
      </c>
      <c r="P22" s="568">
        <f t="shared" si="8"/>
        <v>0</v>
      </c>
      <c r="Q22" s="568">
        <v>0</v>
      </c>
      <c r="R22" s="569">
        <v>0</v>
      </c>
      <c r="S22" s="568">
        <v>0</v>
      </c>
    </row>
    <row r="23" spans="1:19" ht="13.5" customHeight="1">
      <c r="A23" s="561"/>
      <c r="B23" s="561"/>
      <c r="C23" s="567" t="s">
        <v>145</v>
      </c>
      <c r="D23" s="568">
        <v>663</v>
      </c>
      <c r="E23" s="568">
        <f t="shared" si="5"/>
        <v>663.1</v>
      </c>
      <c r="F23" s="568">
        <f>E23/D23*100</f>
        <v>100.01508295625942</v>
      </c>
      <c r="G23" s="568">
        <f t="shared" si="6"/>
        <v>663.1</v>
      </c>
      <c r="H23" s="568">
        <f t="shared" si="7"/>
        <v>663.1</v>
      </c>
      <c r="I23" s="568">
        <v>0</v>
      </c>
      <c r="J23" s="568">
        <v>663.1</v>
      </c>
      <c r="K23" s="568">
        <v>0</v>
      </c>
      <c r="L23" s="568">
        <v>0</v>
      </c>
      <c r="M23" s="568">
        <v>0</v>
      </c>
      <c r="N23" s="568">
        <v>0</v>
      </c>
      <c r="O23" s="568">
        <v>0</v>
      </c>
      <c r="P23" s="568">
        <f t="shared" si="8"/>
        <v>0</v>
      </c>
      <c r="Q23" s="568">
        <v>0</v>
      </c>
      <c r="R23" s="569">
        <v>0</v>
      </c>
      <c r="S23" s="568">
        <v>0</v>
      </c>
    </row>
    <row r="24" spans="1:19" ht="13.5" customHeight="1">
      <c r="A24" s="554" t="s">
        <v>33</v>
      </c>
      <c r="B24" s="557"/>
      <c r="C24" s="554"/>
      <c r="D24" s="560">
        <f>D25+D30+D32+D34</f>
        <v>660270</v>
      </c>
      <c r="E24" s="560">
        <f>E25+E30+E32+E34</f>
        <v>660270</v>
      </c>
      <c r="F24" s="560">
        <f aca="true" t="shared" si="9" ref="F24:F32">E24/D24*100</f>
        <v>100</v>
      </c>
      <c r="G24" s="560">
        <f aca="true" t="shared" si="10" ref="G24:S24">G25+G30+G32+G34</f>
        <v>660270</v>
      </c>
      <c r="H24" s="560">
        <f t="shared" si="10"/>
        <v>659525</v>
      </c>
      <c r="I24" s="560">
        <f t="shared" si="10"/>
        <v>457096.36</v>
      </c>
      <c r="J24" s="560">
        <f t="shared" si="10"/>
        <v>202428.64</v>
      </c>
      <c r="K24" s="560">
        <f t="shared" si="10"/>
        <v>0</v>
      </c>
      <c r="L24" s="560">
        <f t="shared" si="10"/>
        <v>745</v>
      </c>
      <c r="M24" s="560">
        <f t="shared" si="10"/>
        <v>0</v>
      </c>
      <c r="N24" s="560">
        <f t="shared" si="10"/>
        <v>0</v>
      </c>
      <c r="O24" s="560">
        <f t="shared" si="10"/>
        <v>0</v>
      </c>
      <c r="P24" s="560">
        <f t="shared" si="10"/>
        <v>0</v>
      </c>
      <c r="Q24" s="560">
        <f t="shared" si="10"/>
        <v>0</v>
      </c>
      <c r="R24" s="560">
        <f t="shared" si="10"/>
        <v>0</v>
      </c>
      <c r="S24" s="560">
        <f t="shared" si="10"/>
        <v>0</v>
      </c>
    </row>
    <row r="25" spans="1:19" ht="13.5" customHeight="1">
      <c r="A25" s="555"/>
      <c r="B25" s="554" t="s">
        <v>34</v>
      </c>
      <c r="C25" s="554"/>
      <c r="D25" s="560">
        <f>SUM(D26:D29)</f>
        <v>133000</v>
      </c>
      <c r="E25" s="560">
        <f>SUM(E26:E29)</f>
        <v>133000</v>
      </c>
      <c r="F25" s="560">
        <f t="shared" si="9"/>
        <v>100</v>
      </c>
      <c r="G25" s="560">
        <f aca="true" t="shared" si="11" ref="G25:S25">SUM(G26:G29)</f>
        <v>133000</v>
      </c>
      <c r="H25" s="560">
        <f t="shared" si="11"/>
        <v>133000</v>
      </c>
      <c r="I25" s="560">
        <f t="shared" si="11"/>
        <v>133000</v>
      </c>
      <c r="J25" s="560">
        <f t="shared" si="11"/>
        <v>0</v>
      </c>
      <c r="K25" s="560">
        <f t="shared" si="11"/>
        <v>0</v>
      </c>
      <c r="L25" s="560">
        <f t="shared" si="11"/>
        <v>0</v>
      </c>
      <c r="M25" s="560">
        <f t="shared" si="11"/>
        <v>0</v>
      </c>
      <c r="N25" s="560">
        <f t="shared" si="11"/>
        <v>0</v>
      </c>
      <c r="O25" s="560">
        <f t="shared" si="11"/>
        <v>0</v>
      </c>
      <c r="P25" s="560">
        <f t="shared" si="11"/>
        <v>0</v>
      </c>
      <c r="Q25" s="560">
        <f t="shared" si="11"/>
        <v>0</v>
      </c>
      <c r="R25" s="560">
        <f t="shared" si="11"/>
        <v>0</v>
      </c>
      <c r="S25" s="560">
        <f t="shared" si="11"/>
        <v>0</v>
      </c>
    </row>
    <row r="26" spans="1:19" ht="13.5" customHeight="1">
      <c r="A26" s="561"/>
      <c r="B26" s="561"/>
      <c r="C26" s="562" t="s">
        <v>295</v>
      </c>
      <c r="D26" s="563">
        <v>100348</v>
      </c>
      <c r="E26" s="563">
        <f>G26+P26</f>
        <v>100347.65</v>
      </c>
      <c r="F26" s="563">
        <f t="shared" si="9"/>
        <v>99.99965121377605</v>
      </c>
      <c r="G26" s="563">
        <f>H26+K26+L26+M26+N26+O26</f>
        <v>100347.65</v>
      </c>
      <c r="H26" s="563">
        <f>SUM(I26:J26)</f>
        <v>100347.65</v>
      </c>
      <c r="I26" s="563">
        <v>100347.65</v>
      </c>
      <c r="J26" s="563">
        <v>0</v>
      </c>
      <c r="K26" s="563">
        <v>0</v>
      </c>
      <c r="L26" s="563">
        <v>0</v>
      </c>
      <c r="M26" s="563">
        <v>0</v>
      </c>
      <c r="N26" s="563">
        <v>0</v>
      </c>
      <c r="O26" s="563">
        <v>0</v>
      </c>
      <c r="P26" s="563">
        <f>Q26+S26</f>
        <v>0</v>
      </c>
      <c r="Q26" s="563">
        <v>0</v>
      </c>
      <c r="R26" s="564">
        <v>0</v>
      </c>
      <c r="S26" s="563">
        <v>0</v>
      </c>
    </row>
    <row r="27" spans="1:19" ht="13.5" customHeight="1">
      <c r="A27" s="561"/>
      <c r="B27" s="561"/>
      <c r="C27" s="562" t="s">
        <v>296</v>
      </c>
      <c r="D27" s="563">
        <v>16985</v>
      </c>
      <c r="E27" s="563">
        <f>G27+P27</f>
        <v>16985.35</v>
      </c>
      <c r="F27" s="563">
        <f>E27/D27*100</f>
        <v>100.0020606417427</v>
      </c>
      <c r="G27" s="563">
        <f>H27+K27+L27+M27+N27+O27</f>
        <v>16985.35</v>
      </c>
      <c r="H27" s="563">
        <f>SUM(I27:J27)</f>
        <v>16985.35</v>
      </c>
      <c r="I27" s="563">
        <v>16985.35</v>
      </c>
      <c r="J27" s="563">
        <v>0</v>
      </c>
      <c r="K27" s="563">
        <v>0</v>
      </c>
      <c r="L27" s="563">
        <v>0</v>
      </c>
      <c r="M27" s="563">
        <v>0</v>
      </c>
      <c r="N27" s="563">
        <v>0</v>
      </c>
      <c r="O27" s="563">
        <v>0</v>
      </c>
      <c r="P27" s="563">
        <f>Q27+S27</f>
        <v>0</v>
      </c>
      <c r="Q27" s="563">
        <v>0</v>
      </c>
      <c r="R27" s="564">
        <v>0</v>
      </c>
      <c r="S27" s="563">
        <v>0</v>
      </c>
    </row>
    <row r="28" spans="1:19" ht="13.5" customHeight="1">
      <c r="A28" s="561"/>
      <c r="B28" s="561"/>
      <c r="C28" s="562" t="s">
        <v>297</v>
      </c>
      <c r="D28" s="563">
        <v>13581</v>
      </c>
      <c r="E28" s="563">
        <f>G28+P28</f>
        <v>13581</v>
      </c>
      <c r="F28" s="563">
        <f t="shared" si="9"/>
        <v>100</v>
      </c>
      <c r="G28" s="563">
        <f>H28+K28+L28+M28+N28+O28</f>
        <v>13581</v>
      </c>
      <c r="H28" s="563">
        <f>SUM(I28:J28)</f>
        <v>13581</v>
      </c>
      <c r="I28" s="563">
        <v>13581</v>
      </c>
      <c r="J28" s="563">
        <v>0</v>
      </c>
      <c r="K28" s="563">
        <v>0</v>
      </c>
      <c r="L28" s="563">
        <v>0</v>
      </c>
      <c r="M28" s="563">
        <v>0</v>
      </c>
      <c r="N28" s="563">
        <v>0</v>
      </c>
      <c r="O28" s="563">
        <v>0</v>
      </c>
      <c r="P28" s="563">
        <f>Q28+S28</f>
        <v>0</v>
      </c>
      <c r="Q28" s="563">
        <v>0</v>
      </c>
      <c r="R28" s="564">
        <v>0</v>
      </c>
      <c r="S28" s="563">
        <v>0</v>
      </c>
    </row>
    <row r="29" spans="1:19" ht="13.5" customHeight="1">
      <c r="A29" s="561"/>
      <c r="B29" s="561"/>
      <c r="C29" s="562" t="s">
        <v>298</v>
      </c>
      <c r="D29" s="563">
        <v>2086</v>
      </c>
      <c r="E29" s="563">
        <f>G29+P29</f>
        <v>2086</v>
      </c>
      <c r="F29" s="563">
        <f t="shared" si="9"/>
        <v>100</v>
      </c>
      <c r="G29" s="563">
        <f>H29+K29+L29+M29+N29+O29</f>
        <v>2086</v>
      </c>
      <c r="H29" s="563">
        <f>SUM(I29:J29)</f>
        <v>2086</v>
      </c>
      <c r="I29" s="563">
        <v>2086</v>
      </c>
      <c r="J29" s="563">
        <v>0</v>
      </c>
      <c r="K29" s="563">
        <v>0</v>
      </c>
      <c r="L29" s="563">
        <v>0</v>
      </c>
      <c r="M29" s="563">
        <v>0</v>
      </c>
      <c r="N29" s="563">
        <v>0</v>
      </c>
      <c r="O29" s="563">
        <v>0</v>
      </c>
      <c r="P29" s="563">
        <f>Q29+S29</f>
        <v>0</v>
      </c>
      <c r="Q29" s="563">
        <v>0</v>
      </c>
      <c r="R29" s="564">
        <v>0</v>
      </c>
      <c r="S29" s="563">
        <v>0</v>
      </c>
    </row>
    <row r="30" spans="1:19" ht="13.5" customHeight="1">
      <c r="A30" s="561"/>
      <c r="B30" s="554" t="s">
        <v>35</v>
      </c>
      <c r="C30" s="554"/>
      <c r="D30" s="560">
        <f>SUM(D31:D31)</f>
        <v>135000</v>
      </c>
      <c r="E30" s="560">
        <f>SUM(E31:E31)</f>
        <v>135000</v>
      </c>
      <c r="F30" s="560">
        <f t="shared" si="9"/>
        <v>100</v>
      </c>
      <c r="G30" s="560">
        <f aca="true" t="shared" si="12" ref="G30:S30">G31</f>
        <v>135000</v>
      </c>
      <c r="H30" s="560">
        <f t="shared" si="12"/>
        <v>135000</v>
      </c>
      <c r="I30" s="560">
        <f t="shared" si="12"/>
        <v>0</v>
      </c>
      <c r="J30" s="560">
        <f t="shared" si="12"/>
        <v>135000</v>
      </c>
      <c r="K30" s="560">
        <f t="shared" si="12"/>
        <v>0</v>
      </c>
      <c r="L30" s="560">
        <f t="shared" si="12"/>
        <v>0</v>
      </c>
      <c r="M30" s="560">
        <f t="shared" si="12"/>
        <v>0</v>
      </c>
      <c r="N30" s="560">
        <f t="shared" si="12"/>
        <v>0</v>
      </c>
      <c r="O30" s="560">
        <f t="shared" si="12"/>
        <v>0</v>
      </c>
      <c r="P30" s="560">
        <f t="shared" si="12"/>
        <v>0</v>
      </c>
      <c r="Q30" s="560">
        <f t="shared" si="12"/>
        <v>0</v>
      </c>
      <c r="R30" s="560">
        <f t="shared" si="12"/>
        <v>0</v>
      </c>
      <c r="S30" s="560">
        <f t="shared" si="12"/>
        <v>0</v>
      </c>
    </row>
    <row r="31" spans="1:19" ht="13.5" customHeight="1">
      <c r="A31" s="561"/>
      <c r="B31" s="561"/>
      <c r="C31" s="567" t="s">
        <v>125</v>
      </c>
      <c r="D31" s="568">
        <v>135000</v>
      </c>
      <c r="E31" s="568">
        <f>G31+P31</f>
        <v>135000</v>
      </c>
      <c r="F31" s="568">
        <f t="shared" si="9"/>
        <v>100</v>
      </c>
      <c r="G31" s="568">
        <f>H31+K31+L31+M31+N31+O31</f>
        <v>135000</v>
      </c>
      <c r="H31" s="568">
        <f>SUM(I31:J31)</f>
        <v>135000</v>
      </c>
      <c r="I31" s="568">
        <v>0</v>
      </c>
      <c r="J31" s="568">
        <v>135000</v>
      </c>
      <c r="K31" s="568">
        <v>0</v>
      </c>
      <c r="L31" s="568">
        <v>0</v>
      </c>
      <c r="M31" s="568">
        <v>0</v>
      </c>
      <c r="N31" s="568">
        <v>0</v>
      </c>
      <c r="O31" s="568">
        <v>0</v>
      </c>
      <c r="P31" s="568">
        <f>Q31+S31</f>
        <v>0</v>
      </c>
      <c r="Q31" s="568">
        <v>0</v>
      </c>
      <c r="R31" s="569">
        <v>0</v>
      </c>
      <c r="S31" s="568">
        <v>0</v>
      </c>
    </row>
    <row r="32" spans="1:19" ht="13.5" customHeight="1">
      <c r="A32" s="561"/>
      <c r="B32" s="554" t="s">
        <v>36</v>
      </c>
      <c r="C32" s="554"/>
      <c r="D32" s="560">
        <f>SUM(D33:D33)</f>
        <v>25000</v>
      </c>
      <c r="E32" s="560">
        <f>SUM(E33:E33)</f>
        <v>25000</v>
      </c>
      <c r="F32" s="560">
        <f t="shared" si="9"/>
        <v>100</v>
      </c>
      <c r="G32" s="560">
        <f aca="true" t="shared" si="13" ref="G32:S32">SUM(G33:G33)</f>
        <v>25000</v>
      </c>
      <c r="H32" s="560">
        <f t="shared" si="13"/>
        <v>25000</v>
      </c>
      <c r="I32" s="560">
        <f t="shared" si="13"/>
        <v>0</v>
      </c>
      <c r="J32" s="560">
        <f t="shared" si="13"/>
        <v>25000</v>
      </c>
      <c r="K32" s="560">
        <f t="shared" si="13"/>
        <v>0</v>
      </c>
      <c r="L32" s="560">
        <f t="shared" si="13"/>
        <v>0</v>
      </c>
      <c r="M32" s="560">
        <f t="shared" si="13"/>
        <v>0</v>
      </c>
      <c r="N32" s="560">
        <f t="shared" si="13"/>
        <v>0</v>
      </c>
      <c r="O32" s="560">
        <f t="shared" si="13"/>
        <v>0</v>
      </c>
      <c r="P32" s="560">
        <f t="shared" si="13"/>
        <v>0</v>
      </c>
      <c r="Q32" s="560">
        <f t="shared" si="13"/>
        <v>0</v>
      </c>
      <c r="R32" s="560">
        <f t="shared" si="13"/>
        <v>0</v>
      </c>
      <c r="S32" s="560">
        <f t="shared" si="13"/>
        <v>0</v>
      </c>
    </row>
    <row r="33" spans="1:19" ht="13.5" customHeight="1">
      <c r="A33" s="561"/>
      <c r="B33" s="561"/>
      <c r="C33" s="562" t="s">
        <v>125</v>
      </c>
      <c r="D33" s="563">
        <v>25000</v>
      </c>
      <c r="E33" s="563">
        <f>G33+P33</f>
        <v>25000</v>
      </c>
      <c r="F33" s="563">
        <f>E33/D33*100</f>
        <v>100</v>
      </c>
      <c r="G33" s="563">
        <f>H33+K33+L33+M33+N33+O33</f>
        <v>25000</v>
      </c>
      <c r="H33" s="563">
        <f>SUM(I33:J33)</f>
        <v>25000</v>
      </c>
      <c r="I33" s="563">
        <v>0</v>
      </c>
      <c r="J33" s="563">
        <v>25000</v>
      </c>
      <c r="K33" s="563">
        <v>0</v>
      </c>
      <c r="L33" s="563">
        <v>0</v>
      </c>
      <c r="M33" s="563">
        <v>0</v>
      </c>
      <c r="N33" s="563">
        <v>0</v>
      </c>
      <c r="O33" s="563">
        <v>0</v>
      </c>
      <c r="P33" s="563">
        <f>Q33+S33</f>
        <v>0</v>
      </c>
      <c r="Q33" s="563">
        <v>0</v>
      </c>
      <c r="R33" s="564">
        <v>0</v>
      </c>
      <c r="S33" s="563">
        <v>0</v>
      </c>
    </row>
    <row r="34" spans="1:19" ht="13.5" customHeight="1">
      <c r="A34" s="561"/>
      <c r="B34" s="554" t="s">
        <v>37</v>
      </c>
      <c r="C34" s="554"/>
      <c r="D34" s="560">
        <f>SUM(D35:D52)</f>
        <v>367270</v>
      </c>
      <c r="E34" s="560">
        <f>SUM(E35:E52)</f>
        <v>367269.99999999994</v>
      </c>
      <c r="F34" s="560">
        <f>E34/D34*100</f>
        <v>99.99999999999999</v>
      </c>
      <c r="G34" s="560">
        <f aca="true" t="shared" si="14" ref="G34:S34">SUM(G35:G52)</f>
        <v>367269.99999999994</v>
      </c>
      <c r="H34" s="560">
        <f t="shared" si="14"/>
        <v>366524.99999999994</v>
      </c>
      <c r="I34" s="560">
        <f t="shared" si="14"/>
        <v>324096.36</v>
      </c>
      <c r="J34" s="560">
        <f t="shared" si="14"/>
        <v>42428.64000000001</v>
      </c>
      <c r="K34" s="560">
        <f t="shared" si="14"/>
        <v>0</v>
      </c>
      <c r="L34" s="560">
        <f t="shared" si="14"/>
        <v>745</v>
      </c>
      <c r="M34" s="560">
        <f t="shared" si="14"/>
        <v>0</v>
      </c>
      <c r="N34" s="560">
        <f t="shared" si="14"/>
        <v>0</v>
      </c>
      <c r="O34" s="560">
        <f t="shared" si="14"/>
        <v>0</v>
      </c>
      <c r="P34" s="560">
        <f t="shared" si="14"/>
        <v>0</v>
      </c>
      <c r="Q34" s="560">
        <f t="shared" si="14"/>
        <v>0</v>
      </c>
      <c r="R34" s="560">
        <f t="shared" si="14"/>
        <v>0</v>
      </c>
      <c r="S34" s="560">
        <f t="shared" si="14"/>
        <v>0</v>
      </c>
    </row>
    <row r="35" spans="1:19" ht="13.5" customHeight="1">
      <c r="A35" s="561"/>
      <c r="B35" s="561"/>
      <c r="C35" s="562" t="s">
        <v>307</v>
      </c>
      <c r="D35" s="563">
        <v>745</v>
      </c>
      <c r="E35" s="563">
        <f>G35+P35</f>
        <v>745</v>
      </c>
      <c r="F35" s="563">
        <f>E35/D35*100</f>
        <v>100</v>
      </c>
      <c r="G35" s="563">
        <f>H35+K35+L35+M35+N35+O35</f>
        <v>745</v>
      </c>
      <c r="H35" s="563">
        <f>SUM(I35:J35)</f>
        <v>0</v>
      </c>
      <c r="I35" s="563">
        <v>0</v>
      </c>
      <c r="J35" s="563">
        <v>0</v>
      </c>
      <c r="K35" s="563">
        <v>0</v>
      </c>
      <c r="L35" s="563">
        <v>745</v>
      </c>
      <c r="M35" s="563">
        <v>0</v>
      </c>
      <c r="N35" s="563">
        <v>0</v>
      </c>
      <c r="O35" s="563">
        <v>0</v>
      </c>
      <c r="P35" s="563">
        <f>Q35+S35</f>
        <v>0</v>
      </c>
      <c r="Q35" s="563">
        <v>0</v>
      </c>
      <c r="R35" s="564">
        <v>0</v>
      </c>
      <c r="S35" s="563">
        <v>0</v>
      </c>
    </row>
    <row r="36" spans="1:19" ht="13.5" customHeight="1">
      <c r="A36" s="561"/>
      <c r="B36" s="561"/>
      <c r="C36" s="562" t="s">
        <v>295</v>
      </c>
      <c r="D36" s="563">
        <v>86528</v>
      </c>
      <c r="E36" s="563">
        <f>G36+P36</f>
        <v>86528.15</v>
      </c>
      <c r="F36" s="563">
        <f>E36/D36*100</f>
        <v>100.00017335428994</v>
      </c>
      <c r="G36" s="563">
        <f>H36+K36+L36+M36+N36+O36</f>
        <v>86528.15</v>
      </c>
      <c r="H36" s="563">
        <f>SUM(I36:J36)</f>
        <v>86528.15</v>
      </c>
      <c r="I36" s="563">
        <v>86528.15</v>
      </c>
      <c r="J36" s="563">
        <v>0</v>
      </c>
      <c r="K36" s="563">
        <v>0</v>
      </c>
      <c r="L36" s="563">
        <v>0</v>
      </c>
      <c r="M36" s="563">
        <v>0</v>
      </c>
      <c r="N36" s="563">
        <v>0</v>
      </c>
      <c r="O36" s="563">
        <v>0</v>
      </c>
      <c r="P36" s="563">
        <f>Q36+S36</f>
        <v>0</v>
      </c>
      <c r="Q36" s="563">
        <v>0</v>
      </c>
      <c r="R36" s="564">
        <v>0</v>
      </c>
      <c r="S36" s="563">
        <v>0</v>
      </c>
    </row>
    <row r="37" spans="1:19" ht="13.5" customHeight="1">
      <c r="A37" s="561"/>
      <c r="B37" s="561"/>
      <c r="C37" s="562" t="s">
        <v>299</v>
      </c>
      <c r="D37" s="563">
        <v>173414</v>
      </c>
      <c r="E37" s="563">
        <f>G37+P37</f>
        <v>173413.9</v>
      </c>
      <c r="F37" s="563">
        <f>E37/D37*100</f>
        <v>99.99994233452892</v>
      </c>
      <c r="G37" s="563">
        <f>H37+K37+L37+M37+N37+O37</f>
        <v>173413.9</v>
      </c>
      <c r="H37" s="563">
        <f>SUM(I37:J37)</f>
        <v>173413.9</v>
      </c>
      <c r="I37" s="563">
        <v>173413.9</v>
      </c>
      <c r="J37" s="563">
        <v>0</v>
      </c>
      <c r="K37" s="563">
        <v>0</v>
      </c>
      <c r="L37" s="563">
        <v>0</v>
      </c>
      <c r="M37" s="563">
        <v>0</v>
      </c>
      <c r="N37" s="563">
        <v>0</v>
      </c>
      <c r="O37" s="563">
        <v>0</v>
      </c>
      <c r="P37" s="563">
        <f>Q37+S37</f>
        <v>0</v>
      </c>
      <c r="Q37" s="563">
        <v>0</v>
      </c>
      <c r="R37" s="564">
        <v>0</v>
      </c>
      <c r="S37" s="563">
        <v>0</v>
      </c>
    </row>
    <row r="38" spans="1:19" ht="13.5" customHeight="1">
      <c r="A38" s="561"/>
      <c r="B38" s="561"/>
      <c r="C38" s="562" t="s">
        <v>296</v>
      </c>
      <c r="D38" s="563">
        <v>17790</v>
      </c>
      <c r="E38" s="563">
        <f aca="true" t="shared" si="15" ref="E38:E51">G38+P38</f>
        <v>17790</v>
      </c>
      <c r="F38" s="563">
        <f aca="true" t="shared" si="16" ref="F38:F51">E38/D38*100</f>
        <v>100</v>
      </c>
      <c r="G38" s="563">
        <f aca="true" t="shared" si="17" ref="G38:G51">H38+K38+L38+M38+N38+O38</f>
        <v>17790</v>
      </c>
      <c r="H38" s="563">
        <f aca="true" t="shared" si="18" ref="H38:H51">SUM(I38:J38)</f>
        <v>17790</v>
      </c>
      <c r="I38" s="563">
        <v>17790</v>
      </c>
      <c r="J38" s="563">
        <v>0</v>
      </c>
      <c r="K38" s="563">
        <v>0</v>
      </c>
      <c r="L38" s="563">
        <v>0</v>
      </c>
      <c r="M38" s="563">
        <v>0</v>
      </c>
      <c r="N38" s="563">
        <v>0</v>
      </c>
      <c r="O38" s="563">
        <v>0</v>
      </c>
      <c r="P38" s="563">
        <f aca="true" t="shared" si="19" ref="P38:P51">Q38+S38</f>
        <v>0</v>
      </c>
      <c r="Q38" s="563">
        <v>0</v>
      </c>
      <c r="R38" s="564">
        <v>0</v>
      </c>
      <c r="S38" s="563">
        <v>0</v>
      </c>
    </row>
    <row r="39" spans="1:19" ht="13.5" customHeight="1">
      <c r="A39" s="561"/>
      <c r="B39" s="561"/>
      <c r="C39" s="562" t="s">
        <v>297</v>
      </c>
      <c r="D39" s="563">
        <v>41506</v>
      </c>
      <c r="E39" s="563">
        <f t="shared" si="15"/>
        <v>41506.34</v>
      </c>
      <c r="F39" s="563">
        <f t="shared" si="16"/>
        <v>100.00081915867585</v>
      </c>
      <c r="G39" s="563">
        <f t="shared" si="17"/>
        <v>41506.34</v>
      </c>
      <c r="H39" s="563">
        <f t="shared" si="18"/>
        <v>41506.34</v>
      </c>
      <c r="I39" s="563">
        <v>41506.34</v>
      </c>
      <c r="J39" s="563">
        <v>0</v>
      </c>
      <c r="K39" s="563">
        <v>0</v>
      </c>
      <c r="L39" s="563">
        <v>0</v>
      </c>
      <c r="M39" s="563">
        <v>0</v>
      </c>
      <c r="N39" s="563">
        <v>0</v>
      </c>
      <c r="O39" s="563">
        <v>0</v>
      </c>
      <c r="P39" s="563">
        <f t="shared" si="19"/>
        <v>0</v>
      </c>
      <c r="Q39" s="563">
        <v>0</v>
      </c>
      <c r="R39" s="564">
        <v>0</v>
      </c>
      <c r="S39" s="563">
        <v>0</v>
      </c>
    </row>
    <row r="40" spans="1:19" ht="13.5" customHeight="1">
      <c r="A40" s="561"/>
      <c r="B40" s="561"/>
      <c r="C40" s="562" t="s">
        <v>298</v>
      </c>
      <c r="D40" s="563">
        <v>4858</v>
      </c>
      <c r="E40" s="563">
        <f t="shared" si="15"/>
        <v>4857.97</v>
      </c>
      <c r="F40" s="563">
        <f t="shared" si="16"/>
        <v>99.9993824619185</v>
      </c>
      <c r="G40" s="563">
        <f t="shared" si="17"/>
        <v>4857.97</v>
      </c>
      <c r="H40" s="563">
        <f t="shared" si="18"/>
        <v>4857.97</v>
      </c>
      <c r="I40" s="563">
        <v>4857.97</v>
      </c>
      <c r="J40" s="563">
        <v>0</v>
      </c>
      <c r="K40" s="563">
        <v>0</v>
      </c>
      <c r="L40" s="563">
        <v>0</v>
      </c>
      <c r="M40" s="563">
        <v>0</v>
      </c>
      <c r="N40" s="563">
        <v>0</v>
      </c>
      <c r="O40" s="563">
        <v>0</v>
      </c>
      <c r="P40" s="563">
        <f t="shared" si="19"/>
        <v>0</v>
      </c>
      <c r="Q40" s="563">
        <v>0</v>
      </c>
      <c r="R40" s="564">
        <v>0</v>
      </c>
      <c r="S40" s="563">
        <v>0</v>
      </c>
    </row>
    <row r="41" spans="1:19" ht="13.5" customHeight="1">
      <c r="A41" s="561"/>
      <c r="B41" s="561"/>
      <c r="C41" s="562" t="s">
        <v>123</v>
      </c>
      <c r="D41" s="563">
        <v>5810</v>
      </c>
      <c r="E41" s="563">
        <f t="shared" si="15"/>
        <v>5810.23</v>
      </c>
      <c r="F41" s="563">
        <f t="shared" si="16"/>
        <v>100.0039586919105</v>
      </c>
      <c r="G41" s="563">
        <f t="shared" si="17"/>
        <v>5810.23</v>
      </c>
      <c r="H41" s="563">
        <f t="shared" si="18"/>
        <v>5810.23</v>
      </c>
      <c r="I41" s="563">
        <v>0</v>
      </c>
      <c r="J41" s="563">
        <v>5810.23</v>
      </c>
      <c r="K41" s="563">
        <v>0</v>
      </c>
      <c r="L41" s="563">
        <v>0</v>
      </c>
      <c r="M41" s="563">
        <v>0</v>
      </c>
      <c r="N41" s="563">
        <v>0</v>
      </c>
      <c r="O41" s="563">
        <v>0</v>
      </c>
      <c r="P41" s="563">
        <f t="shared" si="19"/>
        <v>0</v>
      </c>
      <c r="Q41" s="563">
        <v>0</v>
      </c>
      <c r="R41" s="564">
        <v>0</v>
      </c>
      <c r="S41" s="563">
        <v>0</v>
      </c>
    </row>
    <row r="42" spans="1:19" ht="13.5" customHeight="1">
      <c r="A42" s="561"/>
      <c r="B42" s="561"/>
      <c r="C42" s="562" t="s">
        <v>315</v>
      </c>
      <c r="D42" s="563">
        <v>4148</v>
      </c>
      <c r="E42" s="563">
        <f>G42+P42</f>
        <v>4147.56</v>
      </c>
      <c r="F42" s="563">
        <f>E42/D42*100</f>
        <v>99.9893924783028</v>
      </c>
      <c r="G42" s="563">
        <f>H42+K42+L42+M42+N42+O42</f>
        <v>4147.56</v>
      </c>
      <c r="H42" s="563">
        <f>SUM(I42:J42)</f>
        <v>4147.56</v>
      </c>
      <c r="I42" s="563">
        <v>0</v>
      </c>
      <c r="J42" s="563">
        <v>4147.56</v>
      </c>
      <c r="K42" s="563">
        <v>0</v>
      </c>
      <c r="L42" s="563">
        <v>0</v>
      </c>
      <c r="M42" s="563">
        <v>0</v>
      </c>
      <c r="N42" s="563">
        <v>0</v>
      </c>
      <c r="O42" s="563">
        <v>0</v>
      </c>
      <c r="P42" s="563">
        <f>Q42+S42</f>
        <v>0</v>
      </c>
      <c r="Q42" s="563">
        <v>0</v>
      </c>
      <c r="R42" s="564">
        <v>0</v>
      </c>
      <c r="S42" s="563">
        <v>0</v>
      </c>
    </row>
    <row r="43" spans="1:19" ht="13.5" customHeight="1">
      <c r="A43" s="561"/>
      <c r="B43" s="561"/>
      <c r="C43" s="562" t="s">
        <v>306</v>
      </c>
      <c r="D43" s="563">
        <v>610</v>
      </c>
      <c r="E43" s="563">
        <f t="shared" si="15"/>
        <v>610</v>
      </c>
      <c r="F43" s="563">
        <f t="shared" si="16"/>
        <v>100</v>
      </c>
      <c r="G43" s="563">
        <f t="shared" si="17"/>
        <v>610</v>
      </c>
      <c r="H43" s="563">
        <f t="shared" si="18"/>
        <v>610</v>
      </c>
      <c r="I43" s="563">
        <v>0</v>
      </c>
      <c r="J43" s="563">
        <v>610</v>
      </c>
      <c r="K43" s="563">
        <v>0</v>
      </c>
      <c r="L43" s="563">
        <v>0</v>
      </c>
      <c r="M43" s="563">
        <v>0</v>
      </c>
      <c r="N43" s="563">
        <v>0</v>
      </c>
      <c r="O43" s="563">
        <v>0</v>
      </c>
      <c r="P43" s="563">
        <f t="shared" si="19"/>
        <v>0</v>
      </c>
      <c r="Q43" s="563">
        <v>0</v>
      </c>
      <c r="R43" s="564">
        <v>0</v>
      </c>
      <c r="S43" s="563">
        <v>0</v>
      </c>
    </row>
    <row r="44" spans="1:19" ht="13.5" customHeight="1">
      <c r="A44" s="561"/>
      <c r="B44" s="561"/>
      <c r="C44" s="562" t="s">
        <v>125</v>
      </c>
      <c r="D44" s="563">
        <v>10759</v>
      </c>
      <c r="E44" s="563">
        <f t="shared" si="15"/>
        <v>10759.37</v>
      </c>
      <c r="F44" s="563">
        <f t="shared" si="16"/>
        <v>100.00343898131798</v>
      </c>
      <c r="G44" s="563">
        <f t="shared" si="17"/>
        <v>10759.37</v>
      </c>
      <c r="H44" s="563">
        <f t="shared" si="18"/>
        <v>10759.37</v>
      </c>
      <c r="I44" s="563">
        <v>0</v>
      </c>
      <c r="J44" s="563">
        <v>10759.37</v>
      </c>
      <c r="K44" s="563">
        <v>0</v>
      </c>
      <c r="L44" s="563">
        <v>0</v>
      </c>
      <c r="M44" s="563">
        <v>0</v>
      </c>
      <c r="N44" s="563">
        <v>0</v>
      </c>
      <c r="O44" s="563">
        <v>0</v>
      </c>
      <c r="P44" s="563">
        <f t="shared" si="19"/>
        <v>0</v>
      </c>
      <c r="Q44" s="563">
        <v>0</v>
      </c>
      <c r="R44" s="564">
        <v>0</v>
      </c>
      <c r="S44" s="563">
        <v>0</v>
      </c>
    </row>
    <row r="45" spans="1:19" ht="13.5" customHeight="1">
      <c r="A45" s="561"/>
      <c r="B45" s="561"/>
      <c r="C45" s="562" t="s">
        <v>300</v>
      </c>
      <c r="D45" s="563">
        <v>2319</v>
      </c>
      <c r="E45" s="563">
        <f t="shared" si="15"/>
        <v>2318.58</v>
      </c>
      <c r="F45" s="563">
        <f t="shared" si="16"/>
        <v>99.98188874514878</v>
      </c>
      <c r="G45" s="563">
        <f t="shared" si="17"/>
        <v>2318.58</v>
      </c>
      <c r="H45" s="563">
        <f t="shared" si="18"/>
        <v>2318.58</v>
      </c>
      <c r="I45" s="563">
        <v>0</v>
      </c>
      <c r="J45" s="563">
        <v>2318.58</v>
      </c>
      <c r="K45" s="563">
        <v>0</v>
      </c>
      <c r="L45" s="563">
        <v>0</v>
      </c>
      <c r="M45" s="563">
        <v>0</v>
      </c>
      <c r="N45" s="563">
        <v>0</v>
      </c>
      <c r="O45" s="563">
        <v>0</v>
      </c>
      <c r="P45" s="563">
        <f t="shared" si="19"/>
        <v>0</v>
      </c>
      <c r="Q45" s="563">
        <v>0</v>
      </c>
      <c r="R45" s="564">
        <v>0</v>
      </c>
      <c r="S45" s="563">
        <v>0</v>
      </c>
    </row>
    <row r="46" spans="1:19" ht="13.5" customHeight="1">
      <c r="A46" s="561"/>
      <c r="B46" s="561"/>
      <c r="C46" s="562" t="s">
        <v>322</v>
      </c>
      <c r="D46" s="563">
        <v>7823</v>
      </c>
      <c r="E46" s="563">
        <f t="shared" si="15"/>
        <v>7822.8</v>
      </c>
      <c r="F46" s="563">
        <f t="shared" si="16"/>
        <v>99.997443436022</v>
      </c>
      <c r="G46" s="563">
        <f t="shared" si="17"/>
        <v>7822.8</v>
      </c>
      <c r="H46" s="563">
        <f t="shared" si="18"/>
        <v>7822.8</v>
      </c>
      <c r="I46" s="563">
        <v>0</v>
      </c>
      <c r="J46" s="563">
        <v>7822.8</v>
      </c>
      <c r="K46" s="563">
        <v>0</v>
      </c>
      <c r="L46" s="563">
        <v>0</v>
      </c>
      <c r="M46" s="563">
        <v>0</v>
      </c>
      <c r="N46" s="563">
        <v>0</v>
      </c>
      <c r="O46" s="563">
        <v>0</v>
      </c>
      <c r="P46" s="563">
        <f t="shared" si="19"/>
        <v>0</v>
      </c>
      <c r="Q46" s="563">
        <v>0</v>
      </c>
      <c r="R46" s="564">
        <v>0</v>
      </c>
      <c r="S46" s="563">
        <v>0</v>
      </c>
    </row>
    <row r="47" spans="1:19" ht="13.5" customHeight="1">
      <c r="A47" s="561"/>
      <c r="B47" s="561"/>
      <c r="C47" s="562" t="s">
        <v>302</v>
      </c>
      <c r="D47" s="563">
        <v>203</v>
      </c>
      <c r="E47" s="563">
        <f>G47+P47</f>
        <v>203.27</v>
      </c>
      <c r="F47" s="563">
        <f>E47/D47*100</f>
        <v>100.13300492610837</v>
      </c>
      <c r="G47" s="563">
        <f>H47+K47+L47+M47+N47+O47</f>
        <v>203.27</v>
      </c>
      <c r="H47" s="563">
        <f>SUM(I47:J47)</f>
        <v>203.27</v>
      </c>
      <c r="I47" s="563">
        <v>0</v>
      </c>
      <c r="J47" s="563">
        <v>203.27</v>
      </c>
      <c r="K47" s="563">
        <v>0</v>
      </c>
      <c r="L47" s="563">
        <v>0</v>
      </c>
      <c r="M47" s="563">
        <v>0</v>
      </c>
      <c r="N47" s="563">
        <v>0</v>
      </c>
      <c r="O47" s="563">
        <v>0</v>
      </c>
      <c r="P47" s="563">
        <f>Q47+S47</f>
        <v>0</v>
      </c>
      <c r="Q47" s="563">
        <v>0</v>
      </c>
      <c r="R47" s="564">
        <v>0</v>
      </c>
      <c r="S47" s="563">
        <v>0</v>
      </c>
    </row>
    <row r="48" spans="1:19" ht="13.5" customHeight="1">
      <c r="A48" s="561"/>
      <c r="B48" s="561"/>
      <c r="C48" s="562" t="s">
        <v>303</v>
      </c>
      <c r="D48" s="563">
        <v>824</v>
      </c>
      <c r="E48" s="563">
        <f t="shared" si="15"/>
        <v>824</v>
      </c>
      <c r="F48" s="563">
        <f t="shared" si="16"/>
        <v>100</v>
      </c>
      <c r="G48" s="563">
        <f t="shared" si="17"/>
        <v>824</v>
      </c>
      <c r="H48" s="563">
        <f t="shared" si="18"/>
        <v>824</v>
      </c>
      <c r="I48" s="563">
        <v>0</v>
      </c>
      <c r="J48" s="563">
        <v>824</v>
      </c>
      <c r="K48" s="563">
        <v>0</v>
      </c>
      <c r="L48" s="563">
        <v>0</v>
      </c>
      <c r="M48" s="563">
        <v>0</v>
      </c>
      <c r="N48" s="563">
        <v>0</v>
      </c>
      <c r="O48" s="563">
        <v>0</v>
      </c>
      <c r="P48" s="563">
        <f t="shared" si="19"/>
        <v>0</v>
      </c>
      <c r="Q48" s="563">
        <v>0</v>
      </c>
      <c r="R48" s="564">
        <v>0</v>
      </c>
      <c r="S48" s="563">
        <v>0</v>
      </c>
    </row>
    <row r="49" spans="1:19" ht="13.5" customHeight="1">
      <c r="A49" s="561"/>
      <c r="B49" s="561"/>
      <c r="C49" s="562" t="s">
        <v>304</v>
      </c>
      <c r="D49" s="563">
        <v>8022</v>
      </c>
      <c r="E49" s="563">
        <f t="shared" si="15"/>
        <v>8022.1</v>
      </c>
      <c r="F49" s="563">
        <f t="shared" si="16"/>
        <v>100.0012465719272</v>
      </c>
      <c r="G49" s="563">
        <f t="shared" si="17"/>
        <v>8022.1</v>
      </c>
      <c r="H49" s="563">
        <f t="shared" si="18"/>
        <v>8022.1</v>
      </c>
      <c r="I49" s="563">
        <v>0</v>
      </c>
      <c r="J49" s="563">
        <v>8022.1</v>
      </c>
      <c r="K49" s="563">
        <v>0</v>
      </c>
      <c r="L49" s="563">
        <v>0</v>
      </c>
      <c r="M49" s="563">
        <v>0</v>
      </c>
      <c r="N49" s="563">
        <v>0</v>
      </c>
      <c r="O49" s="563">
        <v>0</v>
      </c>
      <c r="P49" s="563">
        <f t="shared" si="19"/>
        <v>0</v>
      </c>
      <c r="Q49" s="563">
        <v>0</v>
      </c>
      <c r="R49" s="564">
        <v>0</v>
      </c>
      <c r="S49" s="563">
        <v>0</v>
      </c>
    </row>
    <row r="50" spans="1:19" ht="13.5" customHeight="1">
      <c r="A50" s="561"/>
      <c r="B50" s="561"/>
      <c r="C50" s="562" t="s">
        <v>550</v>
      </c>
      <c r="D50" s="563">
        <v>690</v>
      </c>
      <c r="E50" s="563">
        <f t="shared" si="15"/>
        <v>690</v>
      </c>
      <c r="F50" s="563">
        <f t="shared" si="16"/>
        <v>100</v>
      </c>
      <c r="G50" s="563">
        <f t="shared" si="17"/>
        <v>690</v>
      </c>
      <c r="H50" s="563">
        <f t="shared" si="18"/>
        <v>690</v>
      </c>
      <c r="I50" s="563">
        <v>0</v>
      </c>
      <c r="J50" s="563">
        <v>690</v>
      </c>
      <c r="K50" s="563">
        <v>0</v>
      </c>
      <c r="L50" s="563">
        <v>0</v>
      </c>
      <c r="M50" s="563">
        <v>0</v>
      </c>
      <c r="N50" s="563">
        <v>0</v>
      </c>
      <c r="O50" s="563">
        <v>0</v>
      </c>
      <c r="P50" s="563">
        <f t="shared" si="19"/>
        <v>0</v>
      </c>
      <c r="Q50" s="563">
        <v>0</v>
      </c>
      <c r="R50" s="564">
        <v>0</v>
      </c>
      <c r="S50" s="563">
        <v>0</v>
      </c>
    </row>
    <row r="51" spans="1:19" ht="13.5" customHeight="1">
      <c r="A51" s="561"/>
      <c r="B51" s="561"/>
      <c r="C51" s="562" t="s">
        <v>333</v>
      </c>
      <c r="D51" s="563">
        <v>971</v>
      </c>
      <c r="E51" s="563">
        <f t="shared" si="15"/>
        <v>970.73</v>
      </c>
      <c r="F51" s="563">
        <f t="shared" si="16"/>
        <v>99.97219361483008</v>
      </c>
      <c r="G51" s="563">
        <f t="shared" si="17"/>
        <v>970.73</v>
      </c>
      <c r="H51" s="563">
        <f t="shared" si="18"/>
        <v>970.73</v>
      </c>
      <c r="I51" s="563">
        <v>0</v>
      </c>
      <c r="J51" s="563">
        <v>970.73</v>
      </c>
      <c r="K51" s="563">
        <v>0</v>
      </c>
      <c r="L51" s="563">
        <v>0</v>
      </c>
      <c r="M51" s="563">
        <v>0</v>
      </c>
      <c r="N51" s="563">
        <v>0</v>
      </c>
      <c r="O51" s="563">
        <v>0</v>
      </c>
      <c r="P51" s="563">
        <f t="shared" si="19"/>
        <v>0</v>
      </c>
      <c r="Q51" s="563">
        <v>0</v>
      </c>
      <c r="R51" s="564">
        <v>0</v>
      </c>
      <c r="S51" s="563">
        <v>0</v>
      </c>
    </row>
    <row r="52" spans="1:19" ht="13.5" customHeight="1">
      <c r="A52" s="561"/>
      <c r="B52" s="561"/>
      <c r="C52" s="562" t="s">
        <v>145</v>
      </c>
      <c r="D52" s="563">
        <v>250</v>
      </c>
      <c r="E52" s="563">
        <f>G52+P52</f>
        <v>250</v>
      </c>
      <c r="F52" s="563">
        <f>E52/D52*100</f>
        <v>100</v>
      </c>
      <c r="G52" s="563">
        <f>H52+K52+L52+M52+N52+O52</f>
        <v>250</v>
      </c>
      <c r="H52" s="563">
        <f>SUM(I52:J52)</f>
        <v>250</v>
      </c>
      <c r="I52" s="563">
        <v>0</v>
      </c>
      <c r="J52" s="563">
        <v>250</v>
      </c>
      <c r="K52" s="563">
        <v>0</v>
      </c>
      <c r="L52" s="563">
        <v>0</v>
      </c>
      <c r="M52" s="563">
        <v>0</v>
      </c>
      <c r="N52" s="563">
        <v>0</v>
      </c>
      <c r="O52" s="563">
        <v>0</v>
      </c>
      <c r="P52" s="563">
        <f>Q52+S52</f>
        <v>0</v>
      </c>
      <c r="Q52" s="563">
        <v>0</v>
      </c>
      <c r="R52" s="564">
        <v>0</v>
      </c>
      <c r="S52" s="563">
        <v>0</v>
      </c>
    </row>
    <row r="53" spans="1:19" ht="13.5" customHeight="1">
      <c r="A53" s="557" t="s">
        <v>19</v>
      </c>
      <c r="B53" s="557"/>
      <c r="C53" s="554"/>
      <c r="D53" s="560">
        <f>D54+D59</f>
        <v>197029</v>
      </c>
      <c r="E53" s="560">
        <f>E54+E59</f>
        <v>197028.33</v>
      </c>
      <c r="F53" s="560">
        <f aca="true" t="shared" si="20" ref="F53:F73">E53/D53*100</f>
        <v>99.9996599485355</v>
      </c>
      <c r="G53" s="560">
        <f aca="true" t="shared" si="21" ref="G53:S53">G54+G59</f>
        <v>197028.33</v>
      </c>
      <c r="H53" s="560">
        <f t="shared" si="21"/>
        <v>197028.33</v>
      </c>
      <c r="I53" s="560">
        <f t="shared" si="21"/>
        <v>195227.39</v>
      </c>
      <c r="J53" s="560">
        <f t="shared" si="21"/>
        <v>1800.94</v>
      </c>
      <c r="K53" s="560">
        <f t="shared" si="21"/>
        <v>0</v>
      </c>
      <c r="L53" s="560">
        <f t="shared" si="21"/>
        <v>0</v>
      </c>
      <c r="M53" s="560">
        <f t="shared" si="21"/>
        <v>0</v>
      </c>
      <c r="N53" s="560">
        <f t="shared" si="21"/>
        <v>0</v>
      </c>
      <c r="O53" s="560">
        <f t="shared" si="21"/>
        <v>0</v>
      </c>
      <c r="P53" s="560">
        <f t="shared" si="21"/>
        <v>0</v>
      </c>
      <c r="Q53" s="560">
        <f t="shared" si="21"/>
        <v>0</v>
      </c>
      <c r="R53" s="560">
        <f t="shared" si="21"/>
        <v>0</v>
      </c>
      <c r="S53" s="560">
        <f t="shared" si="21"/>
        <v>0</v>
      </c>
    </row>
    <row r="54" spans="1:19" ht="13.5" customHeight="1">
      <c r="A54" s="557"/>
      <c r="B54" s="554" t="s">
        <v>20</v>
      </c>
      <c r="C54" s="554"/>
      <c r="D54" s="560">
        <f>SUM(D55:D58)</f>
        <v>179330</v>
      </c>
      <c r="E54" s="560">
        <f>SUM(E55:E58)</f>
        <v>179330</v>
      </c>
      <c r="F54" s="560">
        <f t="shared" si="20"/>
        <v>100</v>
      </c>
      <c r="G54" s="560">
        <f aca="true" t="shared" si="22" ref="G54:S54">SUM(G55:G58)</f>
        <v>179330</v>
      </c>
      <c r="H54" s="560">
        <f t="shared" si="22"/>
        <v>179330</v>
      </c>
      <c r="I54" s="560">
        <f t="shared" si="22"/>
        <v>179330</v>
      </c>
      <c r="J54" s="560">
        <f t="shared" si="22"/>
        <v>0</v>
      </c>
      <c r="K54" s="560">
        <f t="shared" si="22"/>
        <v>0</v>
      </c>
      <c r="L54" s="560">
        <f t="shared" si="22"/>
        <v>0</v>
      </c>
      <c r="M54" s="560">
        <f t="shared" si="22"/>
        <v>0</v>
      </c>
      <c r="N54" s="560">
        <f t="shared" si="22"/>
        <v>0</v>
      </c>
      <c r="O54" s="560">
        <f t="shared" si="22"/>
        <v>0</v>
      </c>
      <c r="P54" s="560">
        <f t="shared" si="22"/>
        <v>0</v>
      </c>
      <c r="Q54" s="560">
        <f t="shared" si="22"/>
        <v>0</v>
      </c>
      <c r="R54" s="560">
        <f t="shared" si="22"/>
        <v>0</v>
      </c>
      <c r="S54" s="560">
        <f t="shared" si="22"/>
        <v>0</v>
      </c>
    </row>
    <row r="55" spans="1:19" ht="13.5" customHeight="1">
      <c r="A55" s="561"/>
      <c r="B55" s="561"/>
      <c r="C55" s="562" t="s">
        <v>295</v>
      </c>
      <c r="D55" s="563">
        <v>135960</v>
      </c>
      <c r="E55" s="563">
        <f>G55+P55</f>
        <v>135960.41</v>
      </c>
      <c r="F55" s="563">
        <f t="shared" si="20"/>
        <v>100.00030155928215</v>
      </c>
      <c r="G55" s="563">
        <f>H55+K55+L55+M55+N55+O55</f>
        <v>135960.41</v>
      </c>
      <c r="H55" s="563">
        <f>SUM(I55:J55)</f>
        <v>135960.41</v>
      </c>
      <c r="I55" s="563">
        <v>135960.41</v>
      </c>
      <c r="J55" s="563">
        <v>0</v>
      </c>
      <c r="K55" s="563">
        <v>0</v>
      </c>
      <c r="L55" s="563">
        <v>0</v>
      </c>
      <c r="M55" s="563">
        <v>0</v>
      </c>
      <c r="N55" s="563">
        <v>0</v>
      </c>
      <c r="O55" s="563">
        <v>0</v>
      </c>
      <c r="P55" s="563">
        <f>Q55+S55</f>
        <v>0</v>
      </c>
      <c r="Q55" s="563">
        <v>0</v>
      </c>
      <c r="R55" s="564">
        <v>0</v>
      </c>
      <c r="S55" s="563">
        <v>0</v>
      </c>
    </row>
    <row r="56" spans="1:19" ht="13.5" customHeight="1">
      <c r="A56" s="561"/>
      <c r="B56" s="561"/>
      <c r="C56" s="562" t="s">
        <v>296</v>
      </c>
      <c r="D56" s="563">
        <v>19925</v>
      </c>
      <c r="E56" s="563">
        <f>G56+P56</f>
        <v>19924.59</v>
      </c>
      <c r="F56" s="563">
        <f t="shared" si="20"/>
        <v>99.99794228356336</v>
      </c>
      <c r="G56" s="563">
        <f>H56+K56+L56+M56+N56+O56</f>
        <v>19924.59</v>
      </c>
      <c r="H56" s="563">
        <f>SUM(I56:J56)</f>
        <v>19924.59</v>
      </c>
      <c r="I56" s="563">
        <v>19924.59</v>
      </c>
      <c r="J56" s="563">
        <v>0</v>
      </c>
      <c r="K56" s="563">
        <v>0</v>
      </c>
      <c r="L56" s="563">
        <v>0</v>
      </c>
      <c r="M56" s="563">
        <v>0</v>
      </c>
      <c r="N56" s="563">
        <v>0</v>
      </c>
      <c r="O56" s="563">
        <v>0</v>
      </c>
      <c r="P56" s="563">
        <f>Q56+S56</f>
        <v>0</v>
      </c>
      <c r="Q56" s="563">
        <v>0</v>
      </c>
      <c r="R56" s="564">
        <v>0</v>
      </c>
      <c r="S56" s="563">
        <v>0</v>
      </c>
    </row>
    <row r="57" spans="1:19" ht="13.5" customHeight="1">
      <c r="A57" s="561"/>
      <c r="B57" s="561"/>
      <c r="C57" s="562" t="s">
        <v>297</v>
      </c>
      <c r="D57" s="563">
        <v>22445</v>
      </c>
      <c r="E57" s="563">
        <f>G57+P57</f>
        <v>22445</v>
      </c>
      <c r="F57" s="563">
        <f t="shared" si="20"/>
        <v>100</v>
      </c>
      <c r="G57" s="563">
        <f>H57+K57+L57+M57+N57+O57</f>
        <v>22445</v>
      </c>
      <c r="H57" s="563">
        <f>SUM(I57:J57)</f>
        <v>22445</v>
      </c>
      <c r="I57" s="563">
        <v>22445</v>
      </c>
      <c r="J57" s="563">
        <v>0</v>
      </c>
      <c r="K57" s="563">
        <v>0</v>
      </c>
      <c r="L57" s="563">
        <v>0</v>
      </c>
      <c r="M57" s="563">
        <v>0</v>
      </c>
      <c r="N57" s="563">
        <v>0</v>
      </c>
      <c r="O57" s="563">
        <v>0</v>
      </c>
      <c r="P57" s="563">
        <f>Q57+S57</f>
        <v>0</v>
      </c>
      <c r="Q57" s="563">
        <v>0</v>
      </c>
      <c r="R57" s="564">
        <v>0</v>
      </c>
      <c r="S57" s="563">
        <v>0</v>
      </c>
    </row>
    <row r="58" spans="1:19" ht="13.5" customHeight="1">
      <c r="A58" s="561"/>
      <c r="B58" s="561"/>
      <c r="C58" s="562" t="s">
        <v>298</v>
      </c>
      <c r="D58" s="563">
        <v>1000</v>
      </c>
      <c r="E58" s="563">
        <f>G58+P58</f>
        <v>1000</v>
      </c>
      <c r="F58" s="563">
        <f t="shared" si="20"/>
        <v>100</v>
      </c>
      <c r="G58" s="563">
        <f>H58+K58+L58+M58+N58+O58</f>
        <v>1000</v>
      </c>
      <c r="H58" s="563">
        <f>SUM(I58:J58)</f>
        <v>1000</v>
      </c>
      <c r="I58" s="563">
        <v>1000</v>
      </c>
      <c r="J58" s="563">
        <v>0</v>
      </c>
      <c r="K58" s="563">
        <v>0</v>
      </c>
      <c r="L58" s="563">
        <v>0</v>
      </c>
      <c r="M58" s="563">
        <v>0</v>
      </c>
      <c r="N58" s="563">
        <v>0</v>
      </c>
      <c r="O58" s="563">
        <v>0</v>
      </c>
      <c r="P58" s="563">
        <f>Q58+S58</f>
        <v>0</v>
      </c>
      <c r="Q58" s="563">
        <v>0</v>
      </c>
      <c r="R58" s="564">
        <v>0</v>
      </c>
      <c r="S58" s="563">
        <v>0</v>
      </c>
    </row>
    <row r="59" spans="1:19" ht="13.5" customHeight="1">
      <c r="A59" s="561"/>
      <c r="B59" s="554" t="s">
        <v>38</v>
      </c>
      <c r="C59" s="554"/>
      <c r="D59" s="560">
        <f>SUM(D60:D65)</f>
        <v>17699</v>
      </c>
      <c r="E59" s="560">
        <f>SUM(E60:E65)</f>
        <v>17698.329999999998</v>
      </c>
      <c r="F59" s="560">
        <f t="shared" si="20"/>
        <v>99.99621447539407</v>
      </c>
      <c r="G59" s="560">
        <f aca="true" t="shared" si="23" ref="G59:S59">SUM(G60:G65)</f>
        <v>17698.329999999998</v>
      </c>
      <c r="H59" s="560">
        <f t="shared" si="23"/>
        <v>17698.329999999998</v>
      </c>
      <c r="I59" s="560">
        <f t="shared" si="23"/>
        <v>15897.390000000001</v>
      </c>
      <c r="J59" s="560">
        <f t="shared" si="23"/>
        <v>1800.94</v>
      </c>
      <c r="K59" s="560">
        <f t="shared" si="23"/>
        <v>0</v>
      </c>
      <c r="L59" s="560">
        <f t="shared" si="23"/>
        <v>0</v>
      </c>
      <c r="M59" s="560">
        <f t="shared" si="23"/>
        <v>0</v>
      </c>
      <c r="N59" s="560">
        <f t="shared" si="23"/>
        <v>0</v>
      </c>
      <c r="O59" s="560">
        <f t="shared" si="23"/>
        <v>0</v>
      </c>
      <c r="P59" s="560">
        <f t="shared" si="23"/>
        <v>0</v>
      </c>
      <c r="Q59" s="560">
        <f t="shared" si="23"/>
        <v>0</v>
      </c>
      <c r="R59" s="560">
        <f t="shared" si="23"/>
        <v>0</v>
      </c>
      <c r="S59" s="560">
        <f t="shared" si="23"/>
        <v>0</v>
      </c>
    </row>
    <row r="60" spans="1:19" ht="13.5" customHeight="1">
      <c r="A60" s="561"/>
      <c r="B60" s="561"/>
      <c r="C60" s="562" t="s">
        <v>295</v>
      </c>
      <c r="D60" s="563">
        <v>6399</v>
      </c>
      <c r="E60" s="563">
        <f aca="true" t="shared" si="24" ref="E60:E65">G60+P60</f>
        <v>6398.8</v>
      </c>
      <c r="F60" s="563">
        <f t="shared" si="20"/>
        <v>99.99687451164245</v>
      </c>
      <c r="G60" s="563">
        <f aca="true" t="shared" si="25" ref="G60:G65">H60+K60+L60+M60+N60+O60</f>
        <v>6398.8</v>
      </c>
      <c r="H60" s="563">
        <f aca="true" t="shared" si="26" ref="H60:H65">SUM(I60:J60)</f>
        <v>6398.8</v>
      </c>
      <c r="I60" s="563">
        <v>6398.8</v>
      </c>
      <c r="J60" s="563">
        <v>0</v>
      </c>
      <c r="K60" s="563">
        <v>0</v>
      </c>
      <c r="L60" s="563">
        <v>0</v>
      </c>
      <c r="M60" s="563">
        <v>0</v>
      </c>
      <c r="N60" s="563">
        <v>0</v>
      </c>
      <c r="O60" s="563">
        <v>0</v>
      </c>
      <c r="P60" s="563">
        <f aca="true" t="shared" si="27" ref="P60:P65">Q60+S60</f>
        <v>0</v>
      </c>
      <c r="Q60" s="563">
        <v>0</v>
      </c>
      <c r="R60" s="564">
        <v>0</v>
      </c>
      <c r="S60" s="563">
        <v>0</v>
      </c>
    </row>
    <row r="61" spans="1:19" ht="13.5" customHeight="1">
      <c r="A61" s="561"/>
      <c r="B61" s="561"/>
      <c r="C61" s="562" t="s">
        <v>297</v>
      </c>
      <c r="D61" s="563">
        <v>2300</v>
      </c>
      <c r="E61" s="563">
        <f t="shared" si="24"/>
        <v>2299.81</v>
      </c>
      <c r="F61" s="563">
        <f t="shared" si="20"/>
        <v>99.99173913043478</v>
      </c>
      <c r="G61" s="563">
        <f t="shared" si="25"/>
        <v>2299.81</v>
      </c>
      <c r="H61" s="563">
        <f t="shared" si="26"/>
        <v>2299.81</v>
      </c>
      <c r="I61" s="563">
        <v>2299.81</v>
      </c>
      <c r="J61" s="563">
        <v>0</v>
      </c>
      <c r="K61" s="563">
        <v>0</v>
      </c>
      <c r="L61" s="563">
        <v>0</v>
      </c>
      <c r="M61" s="563">
        <v>0</v>
      </c>
      <c r="N61" s="563">
        <v>0</v>
      </c>
      <c r="O61" s="563">
        <v>0</v>
      </c>
      <c r="P61" s="563">
        <f t="shared" si="27"/>
        <v>0</v>
      </c>
      <c r="Q61" s="563">
        <v>0</v>
      </c>
      <c r="R61" s="564">
        <v>0</v>
      </c>
      <c r="S61" s="563">
        <v>0</v>
      </c>
    </row>
    <row r="62" spans="1:19" ht="13.5" customHeight="1">
      <c r="A62" s="561"/>
      <c r="B62" s="561"/>
      <c r="C62" s="562" t="s">
        <v>298</v>
      </c>
      <c r="D62" s="563">
        <v>219</v>
      </c>
      <c r="E62" s="563">
        <f t="shared" si="24"/>
        <v>218.78</v>
      </c>
      <c r="F62" s="563">
        <f t="shared" si="20"/>
        <v>99.89954337899543</v>
      </c>
      <c r="G62" s="563">
        <f t="shared" si="25"/>
        <v>218.78</v>
      </c>
      <c r="H62" s="563">
        <f t="shared" si="26"/>
        <v>218.78</v>
      </c>
      <c r="I62" s="563">
        <v>218.78</v>
      </c>
      <c r="J62" s="563">
        <v>0</v>
      </c>
      <c r="K62" s="563">
        <v>0</v>
      </c>
      <c r="L62" s="563">
        <v>0</v>
      </c>
      <c r="M62" s="563">
        <v>0</v>
      </c>
      <c r="N62" s="563">
        <v>0</v>
      </c>
      <c r="O62" s="563">
        <v>0</v>
      </c>
      <c r="P62" s="563">
        <f t="shared" si="27"/>
        <v>0</v>
      </c>
      <c r="Q62" s="563">
        <v>0</v>
      </c>
      <c r="R62" s="564">
        <v>0</v>
      </c>
      <c r="S62" s="563">
        <v>0</v>
      </c>
    </row>
    <row r="63" spans="1:19" ht="13.5" customHeight="1">
      <c r="A63" s="561"/>
      <c r="B63" s="561"/>
      <c r="C63" s="562" t="s">
        <v>305</v>
      </c>
      <c r="D63" s="563">
        <v>6980</v>
      </c>
      <c r="E63" s="563">
        <f t="shared" si="24"/>
        <v>6980</v>
      </c>
      <c r="F63" s="563">
        <f t="shared" si="20"/>
        <v>100</v>
      </c>
      <c r="G63" s="563">
        <f t="shared" si="25"/>
        <v>6980</v>
      </c>
      <c r="H63" s="563">
        <f t="shared" si="26"/>
        <v>6980</v>
      </c>
      <c r="I63" s="563">
        <v>6980</v>
      </c>
      <c r="J63" s="563">
        <v>0</v>
      </c>
      <c r="K63" s="563">
        <v>0</v>
      </c>
      <c r="L63" s="563">
        <v>0</v>
      </c>
      <c r="M63" s="563">
        <v>0</v>
      </c>
      <c r="N63" s="563">
        <v>0</v>
      </c>
      <c r="O63" s="563">
        <v>0</v>
      </c>
      <c r="P63" s="563">
        <f t="shared" si="27"/>
        <v>0</v>
      </c>
      <c r="Q63" s="563">
        <v>0</v>
      </c>
      <c r="R63" s="564">
        <v>0</v>
      </c>
      <c r="S63" s="563">
        <v>0</v>
      </c>
    </row>
    <row r="64" spans="1:19" ht="13.5" customHeight="1">
      <c r="A64" s="561"/>
      <c r="B64" s="561"/>
      <c r="C64" s="562" t="s">
        <v>123</v>
      </c>
      <c r="D64" s="563">
        <v>1502</v>
      </c>
      <c r="E64" s="563">
        <f t="shared" si="24"/>
        <v>1501.77</v>
      </c>
      <c r="F64" s="563">
        <f t="shared" si="20"/>
        <v>99.98468708388815</v>
      </c>
      <c r="G64" s="563">
        <f t="shared" si="25"/>
        <v>1501.77</v>
      </c>
      <c r="H64" s="563">
        <f t="shared" si="26"/>
        <v>1501.77</v>
      </c>
      <c r="I64" s="563">
        <v>0</v>
      </c>
      <c r="J64" s="563">
        <v>1501.77</v>
      </c>
      <c r="K64" s="563">
        <v>0</v>
      </c>
      <c r="L64" s="563">
        <v>0</v>
      </c>
      <c r="M64" s="563">
        <v>0</v>
      </c>
      <c r="N64" s="563">
        <v>0</v>
      </c>
      <c r="O64" s="563">
        <v>0</v>
      </c>
      <c r="P64" s="563">
        <f t="shared" si="27"/>
        <v>0</v>
      </c>
      <c r="Q64" s="563">
        <v>0</v>
      </c>
      <c r="R64" s="564">
        <v>0</v>
      </c>
      <c r="S64" s="563">
        <v>0</v>
      </c>
    </row>
    <row r="65" spans="1:19" ht="13.5" customHeight="1">
      <c r="A65" s="561"/>
      <c r="B65" s="561"/>
      <c r="C65" s="562" t="s">
        <v>302</v>
      </c>
      <c r="D65" s="563">
        <v>299</v>
      </c>
      <c r="E65" s="563">
        <f t="shared" si="24"/>
        <v>299.17</v>
      </c>
      <c r="F65" s="563">
        <f t="shared" si="20"/>
        <v>100.05685618729096</v>
      </c>
      <c r="G65" s="563">
        <f t="shared" si="25"/>
        <v>299.17</v>
      </c>
      <c r="H65" s="563">
        <f t="shared" si="26"/>
        <v>299.17</v>
      </c>
      <c r="I65" s="563">
        <v>0</v>
      </c>
      <c r="J65" s="563">
        <v>299.17</v>
      </c>
      <c r="K65" s="563">
        <v>0</v>
      </c>
      <c r="L65" s="563">
        <v>0</v>
      </c>
      <c r="M65" s="563">
        <v>0</v>
      </c>
      <c r="N65" s="563">
        <v>0</v>
      </c>
      <c r="O65" s="563">
        <v>0</v>
      </c>
      <c r="P65" s="563">
        <f t="shared" si="27"/>
        <v>0</v>
      </c>
      <c r="Q65" s="563">
        <v>0</v>
      </c>
      <c r="R65" s="564">
        <v>0</v>
      </c>
      <c r="S65" s="563">
        <v>0</v>
      </c>
    </row>
    <row r="66" spans="1:19" ht="13.5" customHeight="1">
      <c r="A66" s="554" t="s">
        <v>269</v>
      </c>
      <c r="B66" s="557"/>
      <c r="C66" s="556"/>
      <c r="D66" s="559">
        <f>D67</f>
        <v>1000</v>
      </c>
      <c r="E66" s="559">
        <f>E67</f>
        <v>999.01</v>
      </c>
      <c r="F66" s="559">
        <f t="shared" si="20"/>
        <v>99.901</v>
      </c>
      <c r="G66" s="559">
        <f aca="true" t="shared" si="28" ref="G66:S66">G67</f>
        <v>999.01</v>
      </c>
      <c r="H66" s="559">
        <f t="shared" si="28"/>
        <v>999.01</v>
      </c>
      <c r="I66" s="559">
        <f t="shared" si="28"/>
        <v>999.01</v>
      </c>
      <c r="J66" s="559">
        <f t="shared" si="28"/>
        <v>0</v>
      </c>
      <c r="K66" s="559">
        <f t="shared" si="28"/>
        <v>0</v>
      </c>
      <c r="L66" s="559">
        <f t="shared" si="28"/>
        <v>0</v>
      </c>
      <c r="M66" s="559">
        <f t="shared" si="28"/>
        <v>0</v>
      </c>
      <c r="N66" s="559">
        <f t="shared" si="28"/>
        <v>0</v>
      </c>
      <c r="O66" s="559">
        <f t="shared" si="28"/>
        <v>0</v>
      </c>
      <c r="P66" s="559">
        <f t="shared" si="28"/>
        <v>0</v>
      </c>
      <c r="Q66" s="559">
        <f t="shared" si="28"/>
        <v>0</v>
      </c>
      <c r="R66" s="559">
        <f t="shared" si="28"/>
        <v>0</v>
      </c>
      <c r="S66" s="559">
        <f t="shared" si="28"/>
        <v>0</v>
      </c>
    </row>
    <row r="67" spans="1:19" ht="13.5" customHeight="1">
      <c r="A67" s="555"/>
      <c r="B67" s="554" t="s">
        <v>270</v>
      </c>
      <c r="C67" s="554"/>
      <c r="D67" s="560">
        <f>SUM(D68:D70)</f>
        <v>1000</v>
      </c>
      <c r="E67" s="560">
        <f>SUM(E68:E70)</f>
        <v>999.01</v>
      </c>
      <c r="F67" s="560">
        <f t="shared" si="20"/>
        <v>99.901</v>
      </c>
      <c r="G67" s="560">
        <f aca="true" t="shared" si="29" ref="G67:S67">SUM(G68:G70)</f>
        <v>999.01</v>
      </c>
      <c r="H67" s="560">
        <f t="shared" si="29"/>
        <v>999.01</v>
      </c>
      <c r="I67" s="560">
        <f t="shared" si="29"/>
        <v>999.01</v>
      </c>
      <c r="J67" s="560">
        <f t="shared" si="29"/>
        <v>0</v>
      </c>
      <c r="K67" s="560">
        <f t="shared" si="29"/>
        <v>0</v>
      </c>
      <c r="L67" s="560">
        <f t="shared" si="29"/>
        <v>0</v>
      </c>
      <c r="M67" s="560">
        <f t="shared" si="29"/>
        <v>0</v>
      </c>
      <c r="N67" s="560">
        <f t="shared" si="29"/>
        <v>0</v>
      </c>
      <c r="O67" s="560">
        <f t="shared" si="29"/>
        <v>0</v>
      </c>
      <c r="P67" s="560">
        <f t="shared" si="29"/>
        <v>0</v>
      </c>
      <c r="Q67" s="560">
        <f t="shared" si="29"/>
        <v>0</v>
      </c>
      <c r="R67" s="560">
        <f t="shared" si="29"/>
        <v>0</v>
      </c>
      <c r="S67" s="560">
        <f t="shared" si="29"/>
        <v>0</v>
      </c>
    </row>
    <row r="68" spans="1:19" ht="13.5" customHeight="1">
      <c r="A68" s="561"/>
      <c r="B68" s="561"/>
      <c r="C68" s="567" t="s">
        <v>297</v>
      </c>
      <c r="D68" s="568">
        <v>144</v>
      </c>
      <c r="E68" s="568">
        <f>G68+P68</f>
        <v>143.55</v>
      </c>
      <c r="F68" s="568">
        <f t="shared" si="20"/>
        <v>99.6875</v>
      </c>
      <c r="G68" s="568">
        <f>H68+K68+L68+M68+N68+O68</f>
        <v>143.55</v>
      </c>
      <c r="H68" s="568">
        <f>SUM(I68:J68)</f>
        <v>143.55</v>
      </c>
      <c r="I68" s="568">
        <v>143.55</v>
      </c>
      <c r="J68" s="568">
        <v>0</v>
      </c>
      <c r="K68" s="568">
        <v>0</v>
      </c>
      <c r="L68" s="568">
        <v>0</v>
      </c>
      <c r="M68" s="568">
        <v>0</v>
      </c>
      <c r="N68" s="568">
        <v>0</v>
      </c>
      <c r="O68" s="568">
        <v>0</v>
      </c>
      <c r="P68" s="568">
        <f>Q68+S68</f>
        <v>0</v>
      </c>
      <c r="Q68" s="568">
        <v>0</v>
      </c>
      <c r="R68" s="569">
        <v>0</v>
      </c>
      <c r="S68" s="568">
        <v>0</v>
      </c>
    </row>
    <row r="69" spans="1:19" ht="13.5" customHeight="1">
      <c r="A69" s="561"/>
      <c r="B69" s="561"/>
      <c r="C69" s="567" t="s">
        <v>298</v>
      </c>
      <c r="D69" s="568">
        <v>21</v>
      </c>
      <c r="E69" s="568">
        <f>G69+P69</f>
        <v>20.46</v>
      </c>
      <c r="F69" s="568">
        <f>E69/D69*100</f>
        <v>97.42857142857143</v>
      </c>
      <c r="G69" s="568">
        <f>H69+K69+L69+M69+N69+O69</f>
        <v>20.46</v>
      </c>
      <c r="H69" s="568">
        <f>SUM(I69:J69)</f>
        <v>20.46</v>
      </c>
      <c r="I69" s="568">
        <v>20.46</v>
      </c>
      <c r="J69" s="568">
        <v>0</v>
      </c>
      <c r="K69" s="568">
        <v>0</v>
      </c>
      <c r="L69" s="568">
        <v>0</v>
      </c>
      <c r="M69" s="568">
        <v>0</v>
      </c>
      <c r="N69" s="568">
        <v>0</v>
      </c>
      <c r="O69" s="568">
        <v>0</v>
      </c>
      <c r="P69" s="568">
        <f>Q69+S69</f>
        <v>0</v>
      </c>
      <c r="Q69" s="568">
        <v>0</v>
      </c>
      <c r="R69" s="569">
        <v>0</v>
      </c>
      <c r="S69" s="568">
        <v>0</v>
      </c>
    </row>
    <row r="70" spans="1:19" ht="13.5" customHeight="1">
      <c r="A70" s="561"/>
      <c r="B70" s="561"/>
      <c r="C70" s="567" t="s">
        <v>305</v>
      </c>
      <c r="D70" s="568">
        <v>835</v>
      </c>
      <c r="E70" s="568">
        <f>G70+P70</f>
        <v>835</v>
      </c>
      <c r="F70" s="568">
        <f>E70/D70*100</f>
        <v>100</v>
      </c>
      <c r="G70" s="568">
        <f>H70+K70+L70+M70+N70+O70</f>
        <v>835</v>
      </c>
      <c r="H70" s="568">
        <f>SUM(I70:J70)</f>
        <v>835</v>
      </c>
      <c r="I70" s="568">
        <v>835</v>
      </c>
      <c r="J70" s="568">
        <v>0</v>
      </c>
      <c r="K70" s="568">
        <v>0</v>
      </c>
      <c r="L70" s="568">
        <v>0</v>
      </c>
      <c r="M70" s="568">
        <v>0</v>
      </c>
      <c r="N70" s="568">
        <v>0</v>
      </c>
      <c r="O70" s="568">
        <v>0</v>
      </c>
      <c r="P70" s="568">
        <f>Q70+S70</f>
        <v>0</v>
      </c>
      <c r="Q70" s="568">
        <v>0</v>
      </c>
      <c r="R70" s="569">
        <v>0</v>
      </c>
      <c r="S70" s="568">
        <v>0</v>
      </c>
    </row>
    <row r="71" spans="1:19" ht="13.5" customHeight="1">
      <c r="A71" s="557" t="s">
        <v>39</v>
      </c>
      <c r="B71" s="557"/>
      <c r="C71" s="554"/>
      <c r="D71" s="560">
        <f>D72+D99</f>
        <v>5733315</v>
      </c>
      <c r="E71" s="560">
        <f>E72+E99</f>
        <v>5733315</v>
      </c>
      <c r="F71" s="560">
        <f t="shared" si="20"/>
        <v>100</v>
      </c>
      <c r="G71" s="560">
        <f aca="true" t="shared" si="30" ref="G71:S71">G72+G99</f>
        <v>5733315</v>
      </c>
      <c r="H71" s="560">
        <f t="shared" si="30"/>
        <v>5582010.9</v>
      </c>
      <c r="I71" s="560">
        <f t="shared" si="30"/>
        <v>4870653.98</v>
      </c>
      <c r="J71" s="560">
        <f t="shared" si="30"/>
        <v>711356.92</v>
      </c>
      <c r="K71" s="560">
        <f t="shared" si="30"/>
        <v>0</v>
      </c>
      <c r="L71" s="560">
        <f t="shared" si="30"/>
        <v>151304.1</v>
      </c>
      <c r="M71" s="560">
        <f t="shared" si="30"/>
        <v>0</v>
      </c>
      <c r="N71" s="560">
        <f t="shared" si="30"/>
        <v>0</v>
      </c>
      <c r="O71" s="560">
        <f t="shared" si="30"/>
        <v>0</v>
      </c>
      <c r="P71" s="560">
        <f t="shared" si="30"/>
        <v>0</v>
      </c>
      <c r="Q71" s="560">
        <f t="shared" si="30"/>
        <v>0</v>
      </c>
      <c r="R71" s="560">
        <f t="shared" si="30"/>
        <v>0</v>
      </c>
      <c r="S71" s="560">
        <f t="shared" si="30"/>
        <v>0</v>
      </c>
    </row>
    <row r="72" spans="1:19" ht="13.5" customHeight="1">
      <c r="A72" s="557"/>
      <c r="B72" s="554" t="s">
        <v>40</v>
      </c>
      <c r="C72" s="554"/>
      <c r="D72" s="560">
        <f>SUM(D73:D98)</f>
        <v>5728315</v>
      </c>
      <c r="E72" s="560">
        <f>SUM(E73:E98)</f>
        <v>5728315</v>
      </c>
      <c r="F72" s="560">
        <f t="shared" si="20"/>
        <v>100</v>
      </c>
      <c r="G72" s="560">
        <f aca="true" t="shared" si="31" ref="G72:S72">SUM(G73:G98)</f>
        <v>5728315</v>
      </c>
      <c r="H72" s="560">
        <f t="shared" si="31"/>
        <v>5577010.9</v>
      </c>
      <c r="I72" s="560">
        <f t="shared" si="31"/>
        <v>4870653.98</v>
      </c>
      <c r="J72" s="560">
        <f t="shared" si="31"/>
        <v>706356.92</v>
      </c>
      <c r="K72" s="560">
        <f t="shared" si="31"/>
        <v>0</v>
      </c>
      <c r="L72" s="560">
        <f t="shared" si="31"/>
        <v>151304.1</v>
      </c>
      <c r="M72" s="560">
        <f t="shared" si="31"/>
        <v>0</v>
      </c>
      <c r="N72" s="560">
        <f t="shared" si="31"/>
        <v>0</v>
      </c>
      <c r="O72" s="560">
        <f t="shared" si="31"/>
        <v>0</v>
      </c>
      <c r="P72" s="560">
        <f t="shared" si="31"/>
        <v>0</v>
      </c>
      <c r="Q72" s="560">
        <f t="shared" si="31"/>
        <v>0</v>
      </c>
      <c r="R72" s="560">
        <f t="shared" si="31"/>
        <v>0</v>
      </c>
      <c r="S72" s="560">
        <f t="shared" si="31"/>
        <v>0</v>
      </c>
    </row>
    <row r="73" spans="1:19" ht="13.5" customHeight="1">
      <c r="A73" s="561"/>
      <c r="B73" s="561"/>
      <c r="C73" s="562" t="s">
        <v>308</v>
      </c>
      <c r="D73" s="563">
        <v>151304</v>
      </c>
      <c r="E73" s="563">
        <f>G73+P73</f>
        <v>151304.1</v>
      </c>
      <c r="F73" s="563">
        <f t="shared" si="20"/>
        <v>100.00006609210597</v>
      </c>
      <c r="G73" s="563">
        <f>H73+K73+L73+M73+N73+O73</f>
        <v>151304.1</v>
      </c>
      <c r="H73" s="563">
        <f>SUM(I73:J73)</f>
        <v>0</v>
      </c>
      <c r="I73" s="563">
        <v>0</v>
      </c>
      <c r="J73" s="563">
        <v>0</v>
      </c>
      <c r="K73" s="563">
        <v>0</v>
      </c>
      <c r="L73" s="563">
        <v>151304.1</v>
      </c>
      <c r="M73" s="563">
        <v>0</v>
      </c>
      <c r="N73" s="563">
        <v>0</v>
      </c>
      <c r="O73" s="563">
        <v>0</v>
      </c>
      <c r="P73" s="563">
        <f>Q73+S73</f>
        <v>0</v>
      </c>
      <c r="Q73" s="563">
        <v>0</v>
      </c>
      <c r="R73" s="564">
        <v>0</v>
      </c>
      <c r="S73" s="563">
        <v>0</v>
      </c>
    </row>
    <row r="74" spans="1:19" ht="13.5" customHeight="1">
      <c r="A74" s="561"/>
      <c r="B74" s="561"/>
      <c r="C74" s="562" t="s">
        <v>295</v>
      </c>
      <c r="D74" s="563">
        <v>19023</v>
      </c>
      <c r="E74" s="563">
        <f aca="true" t="shared" si="32" ref="E74:E98">G74+P74</f>
        <v>19023</v>
      </c>
      <c r="F74" s="563">
        <f aca="true" t="shared" si="33" ref="F74:F98">E74/D74*100</f>
        <v>100</v>
      </c>
      <c r="G74" s="563">
        <f aca="true" t="shared" si="34" ref="G74:G98">H74+K74+L74+M74+N74+O74</f>
        <v>19023</v>
      </c>
      <c r="H74" s="563">
        <f aca="true" t="shared" si="35" ref="H74:H98">SUM(I74:J74)</f>
        <v>19023</v>
      </c>
      <c r="I74" s="563">
        <v>19023</v>
      </c>
      <c r="J74" s="563">
        <v>0</v>
      </c>
      <c r="K74" s="563">
        <v>0</v>
      </c>
      <c r="L74" s="563">
        <v>0</v>
      </c>
      <c r="M74" s="563">
        <v>0</v>
      </c>
      <c r="N74" s="563">
        <v>0</v>
      </c>
      <c r="O74" s="563">
        <v>0</v>
      </c>
      <c r="P74" s="563">
        <f aca="true" t="shared" si="36" ref="P74:P98">Q74+S74</f>
        <v>0</v>
      </c>
      <c r="Q74" s="563">
        <v>0</v>
      </c>
      <c r="R74" s="564">
        <v>0</v>
      </c>
      <c r="S74" s="563">
        <v>0</v>
      </c>
    </row>
    <row r="75" spans="1:19" ht="13.5" customHeight="1">
      <c r="A75" s="561"/>
      <c r="B75" s="561"/>
      <c r="C75" s="562" t="s">
        <v>299</v>
      </c>
      <c r="D75" s="563">
        <v>61622</v>
      </c>
      <c r="E75" s="563">
        <f t="shared" si="32"/>
        <v>61622</v>
      </c>
      <c r="F75" s="563">
        <f t="shared" si="33"/>
        <v>100</v>
      </c>
      <c r="G75" s="563">
        <f t="shared" si="34"/>
        <v>61622</v>
      </c>
      <c r="H75" s="563">
        <f t="shared" si="35"/>
        <v>61622</v>
      </c>
      <c r="I75" s="563">
        <v>61622</v>
      </c>
      <c r="J75" s="563">
        <v>0</v>
      </c>
      <c r="K75" s="563">
        <v>0</v>
      </c>
      <c r="L75" s="563">
        <v>0</v>
      </c>
      <c r="M75" s="563">
        <v>0</v>
      </c>
      <c r="N75" s="563">
        <v>0</v>
      </c>
      <c r="O75" s="563">
        <v>0</v>
      </c>
      <c r="P75" s="563">
        <f t="shared" si="36"/>
        <v>0</v>
      </c>
      <c r="Q75" s="563">
        <v>0</v>
      </c>
      <c r="R75" s="564">
        <v>0</v>
      </c>
      <c r="S75" s="563">
        <v>0</v>
      </c>
    </row>
    <row r="76" spans="1:19" ht="13.5" customHeight="1">
      <c r="A76" s="561"/>
      <c r="B76" s="561"/>
      <c r="C76" s="562" t="s">
        <v>296</v>
      </c>
      <c r="D76" s="563">
        <v>5963</v>
      </c>
      <c r="E76" s="563">
        <f t="shared" si="32"/>
        <v>5963.23</v>
      </c>
      <c r="F76" s="563">
        <f t="shared" si="33"/>
        <v>100.00385711889987</v>
      </c>
      <c r="G76" s="563">
        <f t="shared" si="34"/>
        <v>5963.23</v>
      </c>
      <c r="H76" s="563">
        <f t="shared" si="35"/>
        <v>5963.23</v>
      </c>
      <c r="I76" s="563">
        <v>5963.23</v>
      </c>
      <c r="J76" s="563">
        <v>0</v>
      </c>
      <c r="K76" s="563">
        <v>0</v>
      </c>
      <c r="L76" s="563">
        <v>0</v>
      </c>
      <c r="M76" s="563">
        <v>0</v>
      </c>
      <c r="N76" s="563">
        <v>0</v>
      </c>
      <c r="O76" s="563">
        <v>0</v>
      </c>
      <c r="P76" s="563">
        <f t="shared" si="36"/>
        <v>0</v>
      </c>
      <c r="Q76" s="563">
        <v>0</v>
      </c>
      <c r="R76" s="564">
        <v>0</v>
      </c>
      <c r="S76" s="563">
        <v>0</v>
      </c>
    </row>
    <row r="77" spans="1:19" ht="13.5" customHeight="1">
      <c r="A77" s="561"/>
      <c r="B77" s="561"/>
      <c r="C77" s="562" t="s">
        <v>309</v>
      </c>
      <c r="D77" s="563">
        <v>3586218</v>
      </c>
      <c r="E77" s="563">
        <f t="shared" si="32"/>
        <v>3586218</v>
      </c>
      <c r="F77" s="563">
        <f t="shared" si="33"/>
        <v>100</v>
      </c>
      <c r="G77" s="563">
        <f t="shared" si="34"/>
        <v>3586218</v>
      </c>
      <c r="H77" s="563">
        <f t="shared" si="35"/>
        <v>3586218</v>
      </c>
      <c r="I77" s="563">
        <v>3586218</v>
      </c>
      <c r="J77" s="563">
        <v>0</v>
      </c>
      <c r="K77" s="563">
        <v>0</v>
      </c>
      <c r="L77" s="563">
        <v>0</v>
      </c>
      <c r="M77" s="563">
        <v>0</v>
      </c>
      <c r="N77" s="563">
        <v>0</v>
      </c>
      <c r="O77" s="563">
        <v>0</v>
      </c>
      <c r="P77" s="563">
        <f t="shared" si="36"/>
        <v>0</v>
      </c>
      <c r="Q77" s="563">
        <v>0</v>
      </c>
      <c r="R77" s="564">
        <v>0</v>
      </c>
      <c r="S77" s="563">
        <v>0</v>
      </c>
    </row>
    <row r="78" spans="1:19" ht="13.5" customHeight="1">
      <c r="A78" s="561"/>
      <c r="B78" s="561"/>
      <c r="C78" s="562" t="s">
        <v>310</v>
      </c>
      <c r="D78" s="563">
        <v>648813</v>
      </c>
      <c r="E78" s="563">
        <f t="shared" si="32"/>
        <v>648813</v>
      </c>
      <c r="F78" s="563">
        <f t="shared" si="33"/>
        <v>100</v>
      </c>
      <c r="G78" s="563">
        <f t="shared" si="34"/>
        <v>648813</v>
      </c>
      <c r="H78" s="563">
        <f t="shared" si="35"/>
        <v>648813</v>
      </c>
      <c r="I78" s="563">
        <v>648813</v>
      </c>
      <c r="J78" s="563">
        <v>0</v>
      </c>
      <c r="K78" s="563">
        <v>0</v>
      </c>
      <c r="L78" s="563">
        <v>0</v>
      </c>
      <c r="M78" s="563">
        <v>0</v>
      </c>
      <c r="N78" s="563">
        <v>0</v>
      </c>
      <c r="O78" s="563">
        <v>0</v>
      </c>
      <c r="P78" s="563">
        <f t="shared" si="36"/>
        <v>0</v>
      </c>
      <c r="Q78" s="563">
        <v>0</v>
      </c>
      <c r="R78" s="564">
        <v>0</v>
      </c>
      <c r="S78" s="563">
        <v>0</v>
      </c>
    </row>
    <row r="79" spans="1:19" ht="13.5" customHeight="1">
      <c r="A79" s="561"/>
      <c r="B79" s="561"/>
      <c r="C79" s="562" t="s">
        <v>311</v>
      </c>
      <c r="D79" s="563">
        <v>313063</v>
      </c>
      <c r="E79" s="563">
        <f t="shared" si="32"/>
        <v>313062.58</v>
      </c>
      <c r="F79" s="563">
        <f t="shared" si="33"/>
        <v>99.9998658416996</v>
      </c>
      <c r="G79" s="563">
        <f t="shared" si="34"/>
        <v>313062.58</v>
      </c>
      <c r="H79" s="563">
        <f t="shared" si="35"/>
        <v>313062.58</v>
      </c>
      <c r="I79" s="563">
        <v>313062.58</v>
      </c>
      <c r="J79" s="563">
        <v>0</v>
      </c>
      <c r="K79" s="563">
        <v>0</v>
      </c>
      <c r="L79" s="563">
        <v>0</v>
      </c>
      <c r="M79" s="563">
        <v>0</v>
      </c>
      <c r="N79" s="563">
        <v>0</v>
      </c>
      <c r="O79" s="563">
        <v>0</v>
      </c>
      <c r="P79" s="563">
        <f t="shared" si="36"/>
        <v>0</v>
      </c>
      <c r="Q79" s="563">
        <v>0</v>
      </c>
      <c r="R79" s="564">
        <v>0</v>
      </c>
      <c r="S79" s="563">
        <v>0</v>
      </c>
    </row>
    <row r="80" spans="1:19" ht="13.5" customHeight="1">
      <c r="A80" s="561"/>
      <c r="B80" s="561"/>
      <c r="C80" s="562" t="s">
        <v>297</v>
      </c>
      <c r="D80" s="563">
        <v>57701</v>
      </c>
      <c r="E80" s="563">
        <f t="shared" si="32"/>
        <v>57701</v>
      </c>
      <c r="F80" s="563">
        <f t="shared" si="33"/>
        <v>100</v>
      </c>
      <c r="G80" s="563">
        <f t="shared" si="34"/>
        <v>57701</v>
      </c>
      <c r="H80" s="563">
        <f t="shared" si="35"/>
        <v>57701</v>
      </c>
      <c r="I80" s="563">
        <v>57701</v>
      </c>
      <c r="J80" s="563">
        <v>0</v>
      </c>
      <c r="K80" s="563">
        <v>0</v>
      </c>
      <c r="L80" s="563">
        <v>0</v>
      </c>
      <c r="M80" s="563">
        <v>0</v>
      </c>
      <c r="N80" s="563">
        <v>0</v>
      </c>
      <c r="O80" s="563">
        <v>0</v>
      </c>
      <c r="P80" s="563">
        <f t="shared" si="36"/>
        <v>0</v>
      </c>
      <c r="Q80" s="563">
        <v>0</v>
      </c>
      <c r="R80" s="564">
        <v>0</v>
      </c>
      <c r="S80" s="563">
        <v>0</v>
      </c>
    </row>
    <row r="81" spans="1:19" ht="13.5" customHeight="1">
      <c r="A81" s="561"/>
      <c r="B81" s="561"/>
      <c r="C81" s="562" t="s">
        <v>298</v>
      </c>
      <c r="D81" s="563">
        <v>5075</v>
      </c>
      <c r="E81" s="563">
        <f t="shared" si="32"/>
        <v>5075.06</v>
      </c>
      <c r="F81" s="563">
        <f t="shared" si="33"/>
        <v>100.00118226600986</v>
      </c>
      <c r="G81" s="563">
        <f t="shared" si="34"/>
        <v>5075.06</v>
      </c>
      <c r="H81" s="563">
        <f t="shared" si="35"/>
        <v>5075.06</v>
      </c>
      <c r="I81" s="563">
        <v>5075.06</v>
      </c>
      <c r="J81" s="563">
        <v>0</v>
      </c>
      <c r="K81" s="563">
        <v>0</v>
      </c>
      <c r="L81" s="563">
        <v>0</v>
      </c>
      <c r="M81" s="563">
        <v>0</v>
      </c>
      <c r="N81" s="563">
        <v>0</v>
      </c>
      <c r="O81" s="563">
        <v>0</v>
      </c>
      <c r="P81" s="563">
        <f t="shared" si="36"/>
        <v>0</v>
      </c>
      <c r="Q81" s="563">
        <v>0</v>
      </c>
      <c r="R81" s="564">
        <v>0</v>
      </c>
      <c r="S81" s="563">
        <v>0</v>
      </c>
    </row>
    <row r="82" spans="1:19" ht="13.5" customHeight="1">
      <c r="A82" s="561"/>
      <c r="B82" s="561"/>
      <c r="C82" s="562" t="s">
        <v>305</v>
      </c>
      <c r="D82" s="563">
        <v>25200</v>
      </c>
      <c r="E82" s="563">
        <f t="shared" si="32"/>
        <v>25200</v>
      </c>
      <c r="F82" s="563">
        <f t="shared" si="33"/>
        <v>100</v>
      </c>
      <c r="G82" s="563">
        <f t="shared" si="34"/>
        <v>25200</v>
      </c>
      <c r="H82" s="563">
        <f t="shared" si="35"/>
        <v>25200</v>
      </c>
      <c r="I82" s="563">
        <v>25200</v>
      </c>
      <c r="J82" s="563">
        <v>0</v>
      </c>
      <c r="K82" s="563">
        <v>0</v>
      </c>
      <c r="L82" s="563">
        <v>0</v>
      </c>
      <c r="M82" s="563">
        <v>0</v>
      </c>
      <c r="N82" s="563">
        <v>0</v>
      </c>
      <c r="O82" s="563">
        <v>0</v>
      </c>
      <c r="P82" s="563">
        <f t="shared" si="36"/>
        <v>0</v>
      </c>
      <c r="Q82" s="563">
        <v>0</v>
      </c>
      <c r="R82" s="564">
        <v>0</v>
      </c>
      <c r="S82" s="563">
        <v>0</v>
      </c>
    </row>
    <row r="83" spans="1:19" ht="13.5" customHeight="1">
      <c r="A83" s="561"/>
      <c r="B83" s="561"/>
      <c r="C83" s="562" t="s">
        <v>312</v>
      </c>
      <c r="D83" s="563">
        <v>146778</v>
      </c>
      <c r="E83" s="563">
        <f t="shared" si="32"/>
        <v>146778.36</v>
      </c>
      <c r="F83" s="563">
        <f t="shared" si="33"/>
        <v>100.00024526836447</v>
      </c>
      <c r="G83" s="563">
        <f t="shared" si="34"/>
        <v>146778.36</v>
      </c>
      <c r="H83" s="563">
        <f t="shared" si="35"/>
        <v>146778.36</v>
      </c>
      <c r="I83" s="563">
        <v>146778.36</v>
      </c>
      <c r="J83" s="563">
        <v>0</v>
      </c>
      <c r="K83" s="563">
        <v>0</v>
      </c>
      <c r="L83" s="563">
        <v>0</v>
      </c>
      <c r="M83" s="563">
        <v>0</v>
      </c>
      <c r="N83" s="563">
        <v>0</v>
      </c>
      <c r="O83" s="563">
        <v>0</v>
      </c>
      <c r="P83" s="563">
        <f t="shared" si="36"/>
        <v>0</v>
      </c>
      <c r="Q83" s="563">
        <v>0</v>
      </c>
      <c r="R83" s="564">
        <v>0</v>
      </c>
      <c r="S83" s="563">
        <v>0</v>
      </c>
    </row>
    <row r="84" spans="1:19" ht="13.5" customHeight="1">
      <c r="A84" s="561"/>
      <c r="B84" s="561"/>
      <c r="C84" s="562" t="s">
        <v>123</v>
      </c>
      <c r="D84" s="563">
        <v>318173</v>
      </c>
      <c r="E84" s="563">
        <f t="shared" si="32"/>
        <v>318174.37</v>
      </c>
      <c r="F84" s="563">
        <f t="shared" si="33"/>
        <v>100.00043058336188</v>
      </c>
      <c r="G84" s="563">
        <f t="shared" si="34"/>
        <v>318174.37</v>
      </c>
      <c r="H84" s="563">
        <f t="shared" si="35"/>
        <v>318174.37</v>
      </c>
      <c r="I84" s="563">
        <v>0</v>
      </c>
      <c r="J84" s="563">
        <v>318174.37</v>
      </c>
      <c r="K84" s="563">
        <v>0</v>
      </c>
      <c r="L84" s="563">
        <v>0</v>
      </c>
      <c r="M84" s="563">
        <v>0</v>
      </c>
      <c r="N84" s="563">
        <v>0</v>
      </c>
      <c r="O84" s="563">
        <v>0</v>
      </c>
      <c r="P84" s="563">
        <f t="shared" si="36"/>
        <v>0</v>
      </c>
      <c r="Q84" s="563">
        <v>0</v>
      </c>
      <c r="R84" s="564">
        <v>0</v>
      </c>
      <c r="S84" s="563">
        <v>0</v>
      </c>
    </row>
    <row r="85" spans="1:19" ht="13.5" customHeight="1">
      <c r="A85" s="561"/>
      <c r="B85" s="561"/>
      <c r="C85" s="562" t="s">
        <v>313</v>
      </c>
      <c r="D85" s="563">
        <v>2005</v>
      </c>
      <c r="E85" s="563">
        <f t="shared" si="32"/>
        <v>2004.57</v>
      </c>
      <c r="F85" s="563">
        <f t="shared" si="33"/>
        <v>99.9785536159601</v>
      </c>
      <c r="G85" s="563">
        <f t="shared" si="34"/>
        <v>2004.57</v>
      </c>
      <c r="H85" s="563">
        <f t="shared" si="35"/>
        <v>2004.57</v>
      </c>
      <c r="I85" s="563">
        <v>0</v>
      </c>
      <c r="J85" s="563">
        <v>2004.57</v>
      </c>
      <c r="K85" s="563">
        <v>0</v>
      </c>
      <c r="L85" s="563">
        <v>0</v>
      </c>
      <c r="M85" s="563">
        <v>0</v>
      </c>
      <c r="N85" s="563">
        <v>0</v>
      </c>
      <c r="O85" s="563">
        <v>0</v>
      </c>
      <c r="P85" s="563">
        <f t="shared" si="36"/>
        <v>0</v>
      </c>
      <c r="Q85" s="563">
        <v>0</v>
      </c>
      <c r="R85" s="564">
        <v>0</v>
      </c>
      <c r="S85" s="563">
        <v>0</v>
      </c>
    </row>
    <row r="86" spans="1:19" ht="13.5" customHeight="1">
      <c r="A86" s="561"/>
      <c r="B86" s="561"/>
      <c r="C86" s="562" t="s">
        <v>315</v>
      </c>
      <c r="D86" s="563">
        <v>138136</v>
      </c>
      <c r="E86" s="563">
        <f t="shared" si="32"/>
        <v>138136.2</v>
      </c>
      <c r="F86" s="563">
        <f t="shared" si="33"/>
        <v>100.00014478484974</v>
      </c>
      <c r="G86" s="563">
        <f t="shared" si="34"/>
        <v>138136.2</v>
      </c>
      <c r="H86" s="563">
        <f t="shared" si="35"/>
        <v>138136.2</v>
      </c>
      <c r="I86" s="563">
        <v>0</v>
      </c>
      <c r="J86" s="563">
        <v>138136.2</v>
      </c>
      <c r="K86" s="563">
        <v>0</v>
      </c>
      <c r="L86" s="563">
        <v>0</v>
      </c>
      <c r="M86" s="563">
        <v>0</v>
      </c>
      <c r="N86" s="563">
        <v>0</v>
      </c>
      <c r="O86" s="563">
        <v>0</v>
      </c>
      <c r="P86" s="563">
        <f t="shared" si="36"/>
        <v>0</v>
      </c>
      <c r="Q86" s="563">
        <v>0</v>
      </c>
      <c r="R86" s="564">
        <v>0</v>
      </c>
      <c r="S86" s="563">
        <v>0</v>
      </c>
    </row>
    <row r="87" spans="1:19" ht="13.5" customHeight="1">
      <c r="A87" s="561"/>
      <c r="B87" s="561"/>
      <c r="C87" s="562" t="s">
        <v>124</v>
      </c>
      <c r="D87" s="563">
        <v>41825</v>
      </c>
      <c r="E87" s="563">
        <f t="shared" si="32"/>
        <v>41824.69</v>
      </c>
      <c r="F87" s="563">
        <f t="shared" si="33"/>
        <v>99.99925881649732</v>
      </c>
      <c r="G87" s="563">
        <f t="shared" si="34"/>
        <v>41824.69</v>
      </c>
      <c r="H87" s="563">
        <f t="shared" si="35"/>
        <v>41824.69</v>
      </c>
      <c r="I87" s="563">
        <v>0</v>
      </c>
      <c r="J87" s="563">
        <v>41824.69</v>
      </c>
      <c r="K87" s="563">
        <v>0</v>
      </c>
      <c r="L87" s="563">
        <v>0</v>
      </c>
      <c r="M87" s="563">
        <v>0</v>
      </c>
      <c r="N87" s="563">
        <v>0</v>
      </c>
      <c r="O87" s="563">
        <v>0</v>
      </c>
      <c r="P87" s="563">
        <f t="shared" si="36"/>
        <v>0</v>
      </c>
      <c r="Q87" s="563">
        <v>0</v>
      </c>
      <c r="R87" s="564">
        <v>0</v>
      </c>
      <c r="S87" s="563">
        <v>0</v>
      </c>
    </row>
    <row r="88" spans="1:19" ht="13.5" customHeight="1">
      <c r="A88" s="561"/>
      <c r="B88" s="561"/>
      <c r="C88" s="562" t="s">
        <v>306</v>
      </c>
      <c r="D88" s="563">
        <v>14356</v>
      </c>
      <c r="E88" s="563">
        <f>G88+P88</f>
        <v>14356.2</v>
      </c>
      <c r="F88" s="563">
        <f>E88/D88*100</f>
        <v>100.00139314572306</v>
      </c>
      <c r="G88" s="563">
        <f>H88+K88+L88+M88+N88+O88</f>
        <v>14356.2</v>
      </c>
      <c r="H88" s="563">
        <f>SUM(I88:J88)</f>
        <v>14356.2</v>
      </c>
      <c r="I88" s="563">
        <v>0</v>
      </c>
      <c r="J88" s="563">
        <v>14356.2</v>
      </c>
      <c r="K88" s="563">
        <v>0</v>
      </c>
      <c r="L88" s="563">
        <v>0</v>
      </c>
      <c r="M88" s="563">
        <v>0</v>
      </c>
      <c r="N88" s="563">
        <v>0</v>
      </c>
      <c r="O88" s="563">
        <v>0</v>
      </c>
      <c r="P88" s="563">
        <f>Q88+S88</f>
        <v>0</v>
      </c>
      <c r="Q88" s="563">
        <v>0</v>
      </c>
      <c r="R88" s="564">
        <v>0</v>
      </c>
      <c r="S88" s="563">
        <v>0</v>
      </c>
    </row>
    <row r="89" spans="1:19" ht="13.5" customHeight="1">
      <c r="A89" s="561"/>
      <c r="B89" s="561"/>
      <c r="C89" s="562" t="s">
        <v>125</v>
      </c>
      <c r="D89" s="563">
        <v>83811</v>
      </c>
      <c r="E89" s="563">
        <f>G89+P89</f>
        <v>83811.26</v>
      </c>
      <c r="F89" s="563">
        <f>E89/D89*100</f>
        <v>100.0003102218086</v>
      </c>
      <c r="G89" s="563">
        <f>H89+K89+L89+M89+N89+O89</f>
        <v>83811.26</v>
      </c>
      <c r="H89" s="563">
        <f>SUM(I89:J89)</f>
        <v>83811.26</v>
      </c>
      <c r="I89" s="563">
        <v>0</v>
      </c>
      <c r="J89" s="563">
        <v>83811.26</v>
      </c>
      <c r="K89" s="563">
        <v>0</v>
      </c>
      <c r="L89" s="563">
        <v>0</v>
      </c>
      <c r="M89" s="563">
        <v>0</v>
      </c>
      <c r="N89" s="563">
        <v>0</v>
      </c>
      <c r="O89" s="563">
        <v>0</v>
      </c>
      <c r="P89" s="563">
        <f>Q89+S89</f>
        <v>0</v>
      </c>
      <c r="Q89" s="563">
        <v>0</v>
      </c>
      <c r="R89" s="564">
        <v>0</v>
      </c>
      <c r="S89" s="563">
        <v>0</v>
      </c>
    </row>
    <row r="90" spans="1:19" ht="13.5" customHeight="1">
      <c r="A90" s="561"/>
      <c r="B90" s="561"/>
      <c r="C90" s="562" t="s">
        <v>300</v>
      </c>
      <c r="D90" s="563">
        <v>17486</v>
      </c>
      <c r="E90" s="563">
        <f>G90+P90</f>
        <v>17485.97</v>
      </c>
      <c r="F90" s="563">
        <f>E90/D90*100</f>
        <v>99.99982843417592</v>
      </c>
      <c r="G90" s="563">
        <f>H90+K90+L90+M90+N90+O90</f>
        <v>17485.97</v>
      </c>
      <c r="H90" s="563">
        <f>SUM(I90:J90)</f>
        <v>17485.97</v>
      </c>
      <c r="I90" s="563">
        <v>0</v>
      </c>
      <c r="J90" s="563">
        <v>17485.97</v>
      </c>
      <c r="K90" s="563">
        <v>0</v>
      </c>
      <c r="L90" s="563">
        <v>0</v>
      </c>
      <c r="M90" s="563">
        <v>0</v>
      </c>
      <c r="N90" s="563">
        <v>0</v>
      </c>
      <c r="O90" s="563">
        <v>0</v>
      </c>
      <c r="P90" s="563">
        <f>Q90+S90</f>
        <v>0</v>
      </c>
      <c r="Q90" s="563">
        <v>0</v>
      </c>
      <c r="R90" s="564">
        <v>0</v>
      </c>
      <c r="S90" s="563">
        <v>0</v>
      </c>
    </row>
    <row r="91" spans="1:19" ht="13.5" customHeight="1">
      <c r="A91" s="561"/>
      <c r="B91" s="561"/>
      <c r="C91" s="562" t="s">
        <v>302</v>
      </c>
      <c r="D91" s="563">
        <v>23069</v>
      </c>
      <c r="E91" s="563">
        <f>G91+P91</f>
        <v>23068.85</v>
      </c>
      <c r="F91" s="563">
        <f>E91/D91*100</f>
        <v>99.99934977675669</v>
      </c>
      <c r="G91" s="563">
        <f>H91+K91+L91+M91+N91+O91</f>
        <v>23068.85</v>
      </c>
      <c r="H91" s="563">
        <f>SUM(I91:J91)</f>
        <v>23068.85</v>
      </c>
      <c r="I91" s="563">
        <v>0</v>
      </c>
      <c r="J91" s="563">
        <v>23068.85</v>
      </c>
      <c r="K91" s="563">
        <v>0</v>
      </c>
      <c r="L91" s="563">
        <v>0</v>
      </c>
      <c r="M91" s="563">
        <v>0</v>
      </c>
      <c r="N91" s="563">
        <v>0</v>
      </c>
      <c r="O91" s="563">
        <v>0</v>
      </c>
      <c r="P91" s="563">
        <f>Q91+S91</f>
        <v>0</v>
      </c>
      <c r="Q91" s="563">
        <v>0</v>
      </c>
      <c r="R91" s="564">
        <v>0</v>
      </c>
      <c r="S91" s="563">
        <v>0</v>
      </c>
    </row>
    <row r="92" spans="1:19" ht="13.5" customHeight="1">
      <c r="A92" s="561"/>
      <c r="B92" s="561"/>
      <c r="C92" s="562" t="s">
        <v>316</v>
      </c>
      <c r="D92" s="563">
        <v>2158</v>
      </c>
      <c r="E92" s="563">
        <f>G92+P92</f>
        <v>2157.35</v>
      </c>
      <c r="F92" s="563">
        <f>E92/D92*100</f>
        <v>99.96987951807228</v>
      </c>
      <c r="G92" s="563">
        <f>H92+K92+L92+M92+N92+O92</f>
        <v>2157.35</v>
      </c>
      <c r="H92" s="563">
        <f>SUM(I92:J92)</f>
        <v>2157.35</v>
      </c>
      <c r="I92" s="563">
        <v>0</v>
      </c>
      <c r="J92" s="563">
        <v>2157.35</v>
      </c>
      <c r="K92" s="563">
        <v>0</v>
      </c>
      <c r="L92" s="563">
        <v>0</v>
      </c>
      <c r="M92" s="563">
        <v>0</v>
      </c>
      <c r="N92" s="563">
        <v>0</v>
      </c>
      <c r="O92" s="563">
        <v>0</v>
      </c>
      <c r="P92" s="563">
        <f>Q92+S92</f>
        <v>0</v>
      </c>
      <c r="Q92" s="563">
        <v>0</v>
      </c>
      <c r="R92" s="564">
        <v>0</v>
      </c>
      <c r="S92" s="563">
        <v>0</v>
      </c>
    </row>
    <row r="93" spans="1:19" ht="13.5" customHeight="1">
      <c r="A93" s="561"/>
      <c r="B93" s="561"/>
      <c r="C93" s="562" t="s">
        <v>303</v>
      </c>
      <c r="D93" s="563">
        <v>20739</v>
      </c>
      <c r="E93" s="563">
        <f t="shared" si="32"/>
        <v>20739</v>
      </c>
      <c r="F93" s="563">
        <f t="shared" si="33"/>
        <v>100</v>
      </c>
      <c r="G93" s="563">
        <f t="shared" si="34"/>
        <v>20739</v>
      </c>
      <c r="H93" s="563">
        <f t="shared" si="35"/>
        <v>20739</v>
      </c>
      <c r="I93" s="563">
        <v>0</v>
      </c>
      <c r="J93" s="563">
        <v>20739</v>
      </c>
      <c r="K93" s="563">
        <v>0</v>
      </c>
      <c r="L93" s="563">
        <v>0</v>
      </c>
      <c r="M93" s="563">
        <v>0</v>
      </c>
      <c r="N93" s="563">
        <v>0</v>
      </c>
      <c r="O93" s="563">
        <v>0</v>
      </c>
      <c r="P93" s="563">
        <f t="shared" si="36"/>
        <v>0</v>
      </c>
      <c r="Q93" s="563">
        <v>0</v>
      </c>
      <c r="R93" s="564">
        <v>0</v>
      </c>
      <c r="S93" s="563">
        <v>0</v>
      </c>
    </row>
    <row r="94" spans="1:19" ht="13.5" customHeight="1">
      <c r="A94" s="561"/>
      <c r="B94" s="561"/>
      <c r="C94" s="562" t="s">
        <v>304</v>
      </c>
      <c r="D94" s="563">
        <v>3282</v>
      </c>
      <c r="E94" s="563">
        <f t="shared" si="32"/>
        <v>3281.79</v>
      </c>
      <c r="F94" s="563">
        <f t="shared" si="33"/>
        <v>99.99360146252285</v>
      </c>
      <c r="G94" s="563">
        <f t="shared" si="34"/>
        <v>3281.79</v>
      </c>
      <c r="H94" s="563">
        <f t="shared" si="35"/>
        <v>3281.79</v>
      </c>
      <c r="I94" s="563">
        <v>0</v>
      </c>
      <c r="J94" s="563">
        <v>3281.79</v>
      </c>
      <c r="K94" s="563">
        <v>0</v>
      </c>
      <c r="L94" s="563">
        <v>0</v>
      </c>
      <c r="M94" s="563">
        <v>0</v>
      </c>
      <c r="N94" s="563">
        <v>0</v>
      </c>
      <c r="O94" s="563">
        <v>0</v>
      </c>
      <c r="P94" s="563">
        <f t="shared" si="36"/>
        <v>0</v>
      </c>
      <c r="Q94" s="563">
        <v>0</v>
      </c>
      <c r="R94" s="564">
        <v>0</v>
      </c>
      <c r="S94" s="563">
        <v>0</v>
      </c>
    </row>
    <row r="95" spans="1:19" ht="13.5" customHeight="1">
      <c r="A95" s="561"/>
      <c r="B95" s="561"/>
      <c r="C95" s="562" t="s">
        <v>317</v>
      </c>
      <c r="D95" s="563">
        <v>38635</v>
      </c>
      <c r="E95" s="563">
        <f t="shared" si="32"/>
        <v>38635</v>
      </c>
      <c r="F95" s="563">
        <f t="shared" si="33"/>
        <v>100</v>
      </c>
      <c r="G95" s="563">
        <f t="shared" si="34"/>
        <v>38635</v>
      </c>
      <c r="H95" s="563">
        <f t="shared" si="35"/>
        <v>38635</v>
      </c>
      <c r="I95" s="563">
        <v>0</v>
      </c>
      <c r="J95" s="563">
        <v>38635</v>
      </c>
      <c r="K95" s="563">
        <v>0</v>
      </c>
      <c r="L95" s="563">
        <v>0</v>
      </c>
      <c r="M95" s="563">
        <v>0</v>
      </c>
      <c r="N95" s="563">
        <v>0</v>
      </c>
      <c r="O95" s="563">
        <v>0</v>
      </c>
      <c r="P95" s="563">
        <f t="shared" si="36"/>
        <v>0</v>
      </c>
      <c r="Q95" s="563">
        <v>0</v>
      </c>
      <c r="R95" s="564">
        <v>0</v>
      </c>
      <c r="S95" s="563">
        <v>0</v>
      </c>
    </row>
    <row r="96" spans="1:19" ht="13.5" customHeight="1">
      <c r="A96" s="561"/>
      <c r="B96" s="561"/>
      <c r="C96" s="562" t="s">
        <v>318</v>
      </c>
      <c r="D96" s="563">
        <v>1530</v>
      </c>
      <c r="E96" s="563">
        <f>G96+P96</f>
        <v>1529.67</v>
      </c>
      <c r="F96" s="563">
        <f>E96/D96*100</f>
        <v>99.97843137254903</v>
      </c>
      <c r="G96" s="563">
        <f>H96+K96+L96+M96+N96+O96</f>
        <v>1529.67</v>
      </c>
      <c r="H96" s="563">
        <f>SUM(I96:J96)</f>
        <v>1529.67</v>
      </c>
      <c r="I96" s="563">
        <v>0</v>
      </c>
      <c r="J96" s="563">
        <v>1529.67</v>
      </c>
      <c r="K96" s="563">
        <v>0</v>
      </c>
      <c r="L96" s="563">
        <v>0</v>
      </c>
      <c r="M96" s="563">
        <v>0</v>
      </c>
      <c r="N96" s="563">
        <v>0</v>
      </c>
      <c r="O96" s="563">
        <v>0</v>
      </c>
      <c r="P96" s="563">
        <f>Q96+S96</f>
        <v>0</v>
      </c>
      <c r="Q96" s="563">
        <v>0</v>
      </c>
      <c r="R96" s="564">
        <v>0</v>
      </c>
      <c r="S96" s="563">
        <v>0</v>
      </c>
    </row>
    <row r="97" spans="1:19" ht="13.5" customHeight="1">
      <c r="A97" s="561"/>
      <c r="B97" s="561"/>
      <c r="C97" s="562" t="s">
        <v>319</v>
      </c>
      <c r="D97" s="563">
        <v>1152</v>
      </c>
      <c r="E97" s="563">
        <f>G97+P97</f>
        <v>1152</v>
      </c>
      <c r="F97" s="563">
        <f>E97/D97*100</f>
        <v>100</v>
      </c>
      <c r="G97" s="563">
        <f>H97+K97+L97+M97+N97+O97</f>
        <v>1152</v>
      </c>
      <c r="H97" s="563">
        <f>SUM(I97:J97)</f>
        <v>1152</v>
      </c>
      <c r="I97" s="563">
        <v>0</v>
      </c>
      <c r="J97" s="563">
        <v>1152</v>
      </c>
      <c r="K97" s="563">
        <v>0</v>
      </c>
      <c r="L97" s="563">
        <v>0</v>
      </c>
      <c r="M97" s="563">
        <v>0</v>
      </c>
      <c r="N97" s="563">
        <v>0</v>
      </c>
      <c r="O97" s="563">
        <v>0</v>
      </c>
      <c r="P97" s="563">
        <f>Q97+S97</f>
        <v>0</v>
      </c>
      <c r="Q97" s="563">
        <v>0</v>
      </c>
      <c r="R97" s="564">
        <v>0</v>
      </c>
      <c r="S97" s="563">
        <v>0</v>
      </c>
    </row>
    <row r="98" spans="1:19" ht="13.5" customHeight="1">
      <c r="A98" s="561"/>
      <c r="B98" s="561"/>
      <c r="C98" s="562" t="s">
        <v>624</v>
      </c>
      <c r="D98" s="563">
        <v>1198</v>
      </c>
      <c r="E98" s="563">
        <f t="shared" si="32"/>
        <v>1197.75</v>
      </c>
      <c r="F98" s="563">
        <f t="shared" si="33"/>
        <v>99.97913188647746</v>
      </c>
      <c r="G98" s="563">
        <f t="shared" si="34"/>
        <v>1197.75</v>
      </c>
      <c r="H98" s="563">
        <f t="shared" si="35"/>
        <v>1197.75</v>
      </c>
      <c r="I98" s="563">
        <v>1197.75</v>
      </c>
      <c r="J98" s="563">
        <v>0</v>
      </c>
      <c r="K98" s="563">
        <v>0</v>
      </c>
      <c r="L98" s="563">
        <v>0</v>
      </c>
      <c r="M98" s="563">
        <v>0</v>
      </c>
      <c r="N98" s="563">
        <v>0</v>
      </c>
      <c r="O98" s="563">
        <v>0</v>
      </c>
      <c r="P98" s="563">
        <f t="shared" si="36"/>
        <v>0</v>
      </c>
      <c r="Q98" s="563">
        <v>0</v>
      </c>
      <c r="R98" s="564">
        <v>0</v>
      </c>
      <c r="S98" s="563">
        <v>0</v>
      </c>
    </row>
    <row r="99" spans="1:19" ht="13.5" customHeight="1">
      <c r="A99" s="561"/>
      <c r="B99" s="554" t="s">
        <v>83</v>
      </c>
      <c r="C99" s="554"/>
      <c r="D99" s="560">
        <f>SUM(D100:D100)</f>
        <v>5000</v>
      </c>
      <c r="E99" s="560">
        <f>SUM(E100:E100)</f>
        <v>5000</v>
      </c>
      <c r="F99" s="560">
        <f aca="true" t="shared" si="37" ref="F99:F111">E99/D99*100</f>
        <v>100</v>
      </c>
      <c r="G99" s="560">
        <f aca="true" t="shared" si="38" ref="G99:S99">SUM(G100:G100)</f>
        <v>5000</v>
      </c>
      <c r="H99" s="560">
        <f t="shared" si="38"/>
        <v>5000</v>
      </c>
      <c r="I99" s="560">
        <f t="shared" si="38"/>
        <v>0</v>
      </c>
      <c r="J99" s="560">
        <f t="shared" si="38"/>
        <v>5000</v>
      </c>
      <c r="K99" s="560">
        <f t="shared" si="38"/>
        <v>0</v>
      </c>
      <c r="L99" s="560">
        <f t="shared" si="38"/>
        <v>0</v>
      </c>
      <c r="M99" s="560">
        <f t="shared" si="38"/>
        <v>0</v>
      </c>
      <c r="N99" s="560">
        <f t="shared" si="38"/>
        <v>0</v>
      </c>
      <c r="O99" s="560">
        <f t="shared" si="38"/>
        <v>0</v>
      </c>
      <c r="P99" s="560">
        <f t="shared" si="38"/>
        <v>0</v>
      </c>
      <c r="Q99" s="560">
        <f t="shared" si="38"/>
        <v>0</v>
      </c>
      <c r="R99" s="560">
        <f t="shared" si="38"/>
        <v>0</v>
      </c>
      <c r="S99" s="560">
        <f t="shared" si="38"/>
        <v>0</v>
      </c>
    </row>
    <row r="100" spans="1:19" ht="13.5" customHeight="1">
      <c r="A100" s="561"/>
      <c r="B100" s="561"/>
      <c r="C100" s="562" t="s">
        <v>124</v>
      </c>
      <c r="D100" s="563">
        <v>5000</v>
      </c>
      <c r="E100" s="563">
        <f>G100+P100</f>
        <v>5000</v>
      </c>
      <c r="F100" s="563">
        <f t="shared" si="37"/>
        <v>100</v>
      </c>
      <c r="G100" s="563">
        <f>H100+K100+L100+M100+N100+O100</f>
        <v>5000</v>
      </c>
      <c r="H100" s="563">
        <f>SUM(I100:J100)</f>
        <v>5000</v>
      </c>
      <c r="I100" s="563">
        <v>0</v>
      </c>
      <c r="J100" s="563">
        <v>5000</v>
      </c>
      <c r="K100" s="563">
        <v>0</v>
      </c>
      <c r="L100" s="563">
        <v>0</v>
      </c>
      <c r="M100" s="563">
        <v>0</v>
      </c>
      <c r="N100" s="563">
        <v>0</v>
      </c>
      <c r="O100" s="563">
        <v>0</v>
      </c>
      <c r="P100" s="563">
        <f>Q100+S100</f>
        <v>0</v>
      </c>
      <c r="Q100" s="563">
        <v>0</v>
      </c>
      <c r="R100" s="564">
        <v>0</v>
      </c>
      <c r="S100" s="563">
        <v>0</v>
      </c>
    </row>
    <row r="101" spans="1:19" ht="13.5" customHeight="1">
      <c r="A101" s="554" t="s">
        <v>50</v>
      </c>
      <c r="B101" s="557"/>
      <c r="C101" s="556"/>
      <c r="D101" s="559">
        <f>D102+D104</f>
        <v>9874</v>
      </c>
      <c r="E101" s="559">
        <f>E102+E104</f>
        <v>5121.610000000001</v>
      </c>
      <c r="F101" s="559">
        <f>E101/D101*100</f>
        <v>51.869657686854374</v>
      </c>
      <c r="G101" s="559">
        <f aca="true" t="shared" si="39" ref="G101:S101">G102+G104</f>
        <v>5121.610000000001</v>
      </c>
      <c r="H101" s="559">
        <f t="shared" si="39"/>
        <v>5121.610000000001</v>
      </c>
      <c r="I101" s="559">
        <f t="shared" si="39"/>
        <v>0</v>
      </c>
      <c r="J101" s="559">
        <f t="shared" si="39"/>
        <v>5121.610000000001</v>
      </c>
      <c r="K101" s="559">
        <f t="shared" si="39"/>
        <v>0</v>
      </c>
      <c r="L101" s="559">
        <f t="shared" si="39"/>
        <v>0</v>
      </c>
      <c r="M101" s="559">
        <f t="shared" si="39"/>
        <v>0</v>
      </c>
      <c r="N101" s="559">
        <f t="shared" si="39"/>
        <v>0</v>
      </c>
      <c r="O101" s="559">
        <f t="shared" si="39"/>
        <v>0</v>
      </c>
      <c r="P101" s="559">
        <f t="shared" si="39"/>
        <v>0</v>
      </c>
      <c r="Q101" s="559">
        <f t="shared" si="39"/>
        <v>0</v>
      </c>
      <c r="R101" s="559">
        <f t="shared" si="39"/>
        <v>0</v>
      </c>
      <c r="S101" s="559">
        <f t="shared" si="39"/>
        <v>0</v>
      </c>
    </row>
    <row r="102" spans="1:19" ht="13.5" customHeight="1">
      <c r="A102" s="555"/>
      <c r="B102" s="554" t="s">
        <v>51</v>
      </c>
      <c r="C102" s="554"/>
      <c r="D102" s="560">
        <f>SUM(D103:D103)</f>
        <v>4712</v>
      </c>
      <c r="E102" s="560">
        <f>SUM(E103:E103)</f>
        <v>2681.25</v>
      </c>
      <c r="F102" s="560">
        <f>E102/D102*100</f>
        <v>56.902589134125634</v>
      </c>
      <c r="G102" s="560">
        <f aca="true" t="shared" si="40" ref="G102:S104">G103</f>
        <v>2681.25</v>
      </c>
      <c r="H102" s="560">
        <f t="shared" si="40"/>
        <v>2681.25</v>
      </c>
      <c r="I102" s="560">
        <f t="shared" si="40"/>
        <v>0</v>
      </c>
      <c r="J102" s="560">
        <f t="shared" si="40"/>
        <v>2681.25</v>
      </c>
      <c r="K102" s="560">
        <f t="shared" si="40"/>
        <v>0</v>
      </c>
      <c r="L102" s="560">
        <f t="shared" si="40"/>
        <v>0</v>
      </c>
      <c r="M102" s="560">
        <f t="shared" si="40"/>
        <v>0</v>
      </c>
      <c r="N102" s="560">
        <f t="shared" si="40"/>
        <v>0</v>
      </c>
      <c r="O102" s="560">
        <f t="shared" si="40"/>
        <v>0</v>
      </c>
      <c r="P102" s="560">
        <f t="shared" si="40"/>
        <v>0</v>
      </c>
      <c r="Q102" s="560">
        <f t="shared" si="40"/>
        <v>0</v>
      </c>
      <c r="R102" s="560">
        <f t="shared" si="40"/>
        <v>0</v>
      </c>
      <c r="S102" s="560">
        <f t="shared" si="40"/>
        <v>0</v>
      </c>
    </row>
    <row r="103" spans="1:19" ht="13.5" customHeight="1">
      <c r="A103" s="561"/>
      <c r="B103" s="561"/>
      <c r="C103" s="567" t="s">
        <v>331</v>
      </c>
      <c r="D103" s="568">
        <v>4712</v>
      </c>
      <c r="E103" s="568">
        <f>G103+P103</f>
        <v>2681.25</v>
      </c>
      <c r="F103" s="568">
        <f>E103/D103*100</f>
        <v>56.902589134125634</v>
      </c>
      <c r="G103" s="568">
        <f>H103+K103+L103+M103+N103+O103</f>
        <v>2681.25</v>
      </c>
      <c r="H103" s="568">
        <f>SUM(I103:J103)</f>
        <v>2681.25</v>
      </c>
      <c r="I103" s="568">
        <v>0</v>
      </c>
      <c r="J103" s="568">
        <v>2681.25</v>
      </c>
      <c r="K103" s="568">
        <v>0</v>
      </c>
      <c r="L103" s="568">
        <v>0</v>
      </c>
      <c r="M103" s="568">
        <v>0</v>
      </c>
      <c r="N103" s="568">
        <v>0</v>
      </c>
      <c r="O103" s="568">
        <v>0</v>
      </c>
      <c r="P103" s="568">
        <f>Q103+S103</f>
        <v>0</v>
      </c>
      <c r="Q103" s="568">
        <v>0</v>
      </c>
      <c r="R103" s="569">
        <v>0</v>
      </c>
      <c r="S103" s="568">
        <v>0</v>
      </c>
    </row>
    <row r="104" spans="1:19" ht="13.5" customHeight="1">
      <c r="A104" s="561"/>
      <c r="B104" s="554" t="s">
        <v>347</v>
      </c>
      <c r="C104" s="554"/>
      <c r="D104" s="560">
        <f>SUM(D105:D105)</f>
        <v>5162</v>
      </c>
      <c r="E104" s="560">
        <f>SUM(E105:E105)</f>
        <v>2440.36</v>
      </c>
      <c r="F104" s="560">
        <f>E104/D104*100</f>
        <v>47.27547462223944</v>
      </c>
      <c r="G104" s="560">
        <f t="shared" si="40"/>
        <v>2440.36</v>
      </c>
      <c r="H104" s="560">
        <f t="shared" si="40"/>
        <v>2440.36</v>
      </c>
      <c r="I104" s="560">
        <f t="shared" si="40"/>
        <v>0</v>
      </c>
      <c r="J104" s="560">
        <f t="shared" si="40"/>
        <v>2440.36</v>
      </c>
      <c r="K104" s="560">
        <f t="shared" si="40"/>
        <v>0</v>
      </c>
      <c r="L104" s="560">
        <f t="shared" si="40"/>
        <v>0</v>
      </c>
      <c r="M104" s="560">
        <f t="shared" si="40"/>
        <v>0</v>
      </c>
      <c r="N104" s="560">
        <f t="shared" si="40"/>
        <v>0</v>
      </c>
      <c r="O104" s="560">
        <f t="shared" si="40"/>
        <v>0</v>
      </c>
      <c r="P104" s="560">
        <f t="shared" si="40"/>
        <v>0</v>
      </c>
      <c r="Q104" s="560">
        <f t="shared" si="40"/>
        <v>0</v>
      </c>
      <c r="R104" s="560">
        <f t="shared" si="40"/>
        <v>0</v>
      </c>
      <c r="S104" s="560">
        <f t="shared" si="40"/>
        <v>0</v>
      </c>
    </row>
    <row r="105" spans="1:19" ht="13.5" customHeight="1">
      <c r="A105" s="561"/>
      <c r="B105" s="561"/>
      <c r="C105" s="562" t="s">
        <v>331</v>
      </c>
      <c r="D105" s="563">
        <v>5162</v>
      </c>
      <c r="E105" s="563">
        <f>G105+P105</f>
        <v>2440.36</v>
      </c>
      <c r="F105" s="563">
        <f>E105/D105*100</f>
        <v>47.27547462223944</v>
      </c>
      <c r="G105" s="563">
        <f>H105+K105+L105+M105+N105+O105</f>
        <v>2440.36</v>
      </c>
      <c r="H105" s="563">
        <f>SUM(I105:J105)</f>
        <v>2440.36</v>
      </c>
      <c r="I105" s="563">
        <v>0</v>
      </c>
      <c r="J105" s="563">
        <v>2440.36</v>
      </c>
      <c r="K105" s="563">
        <v>0</v>
      </c>
      <c r="L105" s="563">
        <v>0</v>
      </c>
      <c r="M105" s="563">
        <v>0</v>
      </c>
      <c r="N105" s="563">
        <v>0</v>
      </c>
      <c r="O105" s="563">
        <v>0</v>
      </c>
      <c r="P105" s="563">
        <f>Q105+S105</f>
        <v>0</v>
      </c>
      <c r="Q105" s="563">
        <v>0</v>
      </c>
      <c r="R105" s="564">
        <v>0</v>
      </c>
      <c r="S105" s="563">
        <v>0</v>
      </c>
    </row>
    <row r="106" spans="1:19" ht="13.5" customHeight="1">
      <c r="A106" s="554" t="s">
        <v>41</v>
      </c>
      <c r="B106" s="557"/>
      <c r="C106" s="556"/>
      <c r="D106" s="559">
        <f>D107</f>
        <v>2743993</v>
      </c>
      <c r="E106" s="559">
        <f>E107</f>
        <v>2692510.35</v>
      </c>
      <c r="F106" s="559">
        <f t="shared" si="37"/>
        <v>98.12380534498448</v>
      </c>
      <c r="G106" s="559">
        <f aca="true" t="shared" si="41" ref="G106:S107">G107</f>
        <v>2692510.35</v>
      </c>
      <c r="H106" s="559">
        <f t="shared" si="41"/>
        <v>0</v>
      </c>
      <c r="I106" s="559">
        <f t="shared" si="41"/>
        <v>0</v>
      </c>
      <c r="J106" s="559">
        <f t="shared" si="41"/>
        <v>0</v>
      </c>
      <c r="K106" s="559">
        <f t="shared" si="41"/>
        <v>0</v>
      </c>
      <c r="L106" s="559">
        <f t="shared" si="41"/>
        <v>2692510.35</v>
      </c>
      <c r="M106" s="559">
        <f t="shared" si="41"/>
        <v>0</v>
      </c>
      <c r="N106" s="559">
        <f t="shared" si="41"/>
        <v>0</v>
      </c>
      <c r="O106" s="559">
        <f t="shared" si="41"/>
        <v>0</v>
      </c>
      <c r="P106" s="559">
        <f t="shared" si="41"/>
        <v>0</v>
      </c>
      <c r="Q106" s="559">
        <f t="shared" si="41"/>
        <v>0</v>
      </c>
      <c r="R106" s="559">
        <f t="shared" si="41"/>
        <v>0</v>
      </c>
      <c r="S106" s="559">
        <f t="shared" si="41"/>
        <v>0</v>
      </c>
    </row>
    <row r="107" spans="1:19" ht="13.5" customHeight="1">
      <c r="A107" s="555"/>
      <c r="B107" s="554" t="s">
        <v>42</v>
      </c>
      <c r="C107" s="554"/>
      <c r="D107" s="560">
        <f>SUM(D108:D108)</f>
        <v>2743993</v>
      </c>
      <c r="E107" s="560">
        <f>SUM(E108:E108)</f>
        <v>2692510.35</v>
      </c>
      <c r="F107" s="560">
        <f t="shared" si="37"/>
        <v>98.12380534498448</v>
      </c>
      <c r="G107" s="560">
        <f t="shared" si="41"/>
        <v>2692510.35</v>
      </c>
      <c r="H107" s="560">
        <f t="shared" si="41"/>
        <v>0</v>
      </c>
      <c r="I107" s="560">
        <f t="shared" si="41"/>
        <v>0</v>
      </c>
      <c r="J107" s="560">
        <f t="shared" si="41"/>
        <v>0</v>
      </c>
      <c r="K107" s="560">
        <f t="shared" si="41"/>
        <v>0</v>
      </c>
      <c r="L107" s="560">
        <f t="shared" si="41"/>
        <v>2692510.35</v>
      </c>
      <c r="M107" s="560">
        <f t="shared" si="41"/>
        <v>0</v>
      </c>
      <c r="N107" s="560">
        <f t="shared" si="41"/>
        <v>0</v>
      </c>
      <c r="O107" s="560">
        <f t="shared" si="41"/>
        <v>0</v>
      </c>
      <c r="P107" s="560">
        <f t="shared" si="41"/>
        <v>0</v>
      </c>
      <c r="Q107" s="560">
        <f t="shared" si="41"/>
        <v>0</v>
      </c>
      <c r="R107" s="560">
        <f t="shared" si="41"/>
        <v>0</v>
      </c>
      <c r="S107" s="560">
        <f t="shared" si="41"/>
        <v>0</v>
      </c>
    </row>
    <row r="108" spans="1:19" ht="13.5" customHeight="1">
      <c r="A108" s="561"/>
      <c r="B108" s="561"/>
      <c r="C108" s="567" t="s">
        <v>321</v>
      </c>
      <c r="D108" s="568">
        <v>2743993</v>
      </c>
      <c r="E108" s="568">
        <f>G108+P108</f>
        <v>2692510.35</v>
      </c>
      <c r="F108" s="568">
        <f t="shared" si="37"/>
        <v>98.12380534498448</v>
      </c>
      <c r="G108" s="568">
        <f>H108+K108+L108+M108+N108+O108</f>
        <v>2692510.35</v>
      </c>
      <c r="H108" s="568">
        <f>SUM(I108:J108)</f>
        <v>0</v>
      </c>
      <c r="I108" s="568">
        <v>0</v>
      </c>
      <c r="J108" s="568">
        <v>0</v>
      </c>
      <c r="K108" s="568">
        <v>0</v>
      </c>
      <c r="L108" s="568">
        <v>2692510.35</v>
      </c>
      <c r="M108" s="568">
        <v>0</v>
      </c>
      <c r="N108" s="568">
        <v>0</v>
      </c>
      <c r="O108" s="568">
        <v>0</v>
      </c>
      <c r="P108" s="568">
        <f>Q108+S108</f>
        <v>0</v>
      </c>
      <c r="Q108" s="568">
        <v>0</v>
      </c>
      <c r="R108" s="569">
        <v>0</v>
      </c>
      <c r="S108" s="568">
        <v>0</v>
      </c>
    </row>
    <row r="109" spans="1:19" ht="13.5" customHeight="1">
      <c r="A109" s="557" t="s">
        <v>94</v>
      </c>
      <c r="B109" s="557"/>
      <c r="C109" s="554"/>
      <c r="D109" s="560">
        <f>D110</f>
        <v>13000</v>
      </c>
      <c r="E109" s="560">
        <f>E110</f>
        <v>13000</v>
      </c>
      <c r="F109" s="560">
        <f t="shared" si="37"/>
        <v>100</v>
      </c>
      <c r="G109" s="560">
        <f aca="true" t="shared" si="42" ref="G109:S109">G110</f>
        <v>13000</v>
      </c>
      <c r="H109" s="560">
        <f t="shared" si="42"/>
        <v>13000</v>
      </c>
      <c r="I109" s="560">
        <f t="shared" si="42"/>
        <v>13000</v>
      </c>
      <c r="J109" s="560">
        <f t="shared" si="42"/>
        <v>0</v>
      </c>
      <c r="K109" s="560">
        <f t="shared" si="42"/>
        <v>0</v>
      </c>
      <c r="L109" s="560">
        <f t="shared" si="42"/>
        <v>0</v>
      </c>
      <c r="M109" s="560">
        <f t="shared" si="42"/>
        <v>0</v>
      </c>
      <c r="N109" s="560">
        <f t="shared" si="42"/>
        <v>0</v>
      </c>
      <c r="O109" s="560">
        <f t="shared" si="42"/>
        <v>0</v>
      </c>
      <c r="P109" s="560">
        <f t="shared" si="42"/>
        <v>0</v>
      </c>
      <c r="Q109" s="560">
        <f t="shared" si="42"/>
        <v>0</v>
      </c>
      <c r="R109" s="560">
        <f t="shared" si="42"/>
        <v>0</v>
      </c>
      <c r="S109" s="560">
        <f t="shared" si="42"/>
        <v>0</v>
      </c>
    </row>
    <row r="110" spans="1:19" ht="13.5" customHeight="1">
      <c r="A110" s="557"/>
      <c r="B110" s="554" t="s">
        <v>272</v>
      </c>
      <c r="C110" s="554"/>
      <c r="D110" s="560">
        <f>SUM(D111:D111)</f>
        <v>13000</v>
      </c>
      <c r="E110" s="560">
        <f>SUM(E111:E111)</f>
        <v>13000</v>
      </c>
      <c r="F110" s="560">
        <f t="shared" si="37"/>
        <v>100</v>
      </c>
      <c r="G110" s="560">
        <f aca="true" t="shared" si="43" ref="G110:S110">SUM(G111:G111)</f>
        <v>13000</v>
      </c>
      <c r="H110" s="560">
        <f t="shared" si="43"/>
        <v>13000</v>
      </c>
      <c r="I110" s="560">
        <f t="shared" si="43"/>
        <v>13000</v>
      </c>
      <c r="J110" s="560">
        <f t="shared" si="43"/>
        <v>0</v>
      </c>
      <c r="K110" s="560">
        <f t="shared" si="43"/>
        <v>0</v>
      </c>
      <c r="L110" s="560">
        <f t="shared" si="43"/>
        <v>0</v>
      </c>
      <c r="M110" s="560">
        <f t="shared" si="43"/>
        <v>0</v>
      </c>
      <c r="N110" s="560">
        <f t="shared" si="43"/>
        <v>0</v>
      </c>
      <c r="O110" s="560">
        <f t="shared" si="43"/>
        <v>0</v>
      </c>
      <c r="P110" s="560">
        <f t="shared" si="43"/>
        <v>0</v>
      </c>
      <c r="Q110" s="560">
        <f t="shared" si="43"/>
        <v>0</v>
      </c>
      <c r="R110" s="560">
        <f t="shared" si="43"/>
        <v>0</v>
      </c>
      <c r="S110" s="560">
        <f t="shared" si="43"/>
        <v>0</v>
      </c>
    </row>
    <row r="111" spans="1:19" ht="13.5" customHeight="1">
      <c r="A111" s="561"/>
      <c r="B111" s="561"/>
      <c r="C111" s="562" t="s">
        <v>305</v>
      </c>
      <c r="D111" s="563">
        <v>13000</v>
      </c>
      <c r="E111" s="563">
        <f>G111+P111</f>
        <v>13000</v>
      </c>
      <c r="F111" s="563">
        <f t="shared" si="37"/>
        <v>100</v>
      </c>
      <c r="G111" s="563">
        <f>H111+K111+L111+M111+N111+O111</f>
        <v>13000</v>
      </c>
      <c r="H111" s="563">
        <f>SUM(I111:J111)</f>
        <v>13000</v>
      </c>
      <c r="I111" s="563">
        <v>13000</v>
      </c>
      <c r="J111" s="563">
        <v>0</v>
      </c>
      <c r="K111" s="563">
        <v>0</v>
      </c>
      <c r="L111" s="563">
        <v>0</v>
      </c>
      <c r="M111" s="563">
        <v>0</v>
      </c>
      <c r="N111" s="563">
        <v>0</v>
      </c>
      <c r="O111" s="563">
        <v>0</v>
      </c>
      <c r="P111" s="563">
        <f>Q111+S111</f>
        <v>0</v>
      </c>
      <c r="Q111" s="563">
        <v>0</v>
      </c>
      <c r="R111" s="564">
        <v>0</v>
      </c>
      <c r="S111" s="563">
        <v>0</v>
      </c>
    </row>
    <row r="112" spans="1:19" ht="13.5" customHeight="1">
      <c r="A112" s="554" t="s">
        <v>28</v>
      </c>
      <c r="B112" s="557"/>
      <c r="C112" s="554"/>
      <c r="D112" s="560">
        <f>D113</f>
        <v>509400</v>
      </c>
      <c r="E112" s="560">
        <f>E113</f>
        <v>509400.00000000006</v>
      </c>
      <c r="F112" s="560">
        <f>E112/D112*100</f>
        <v>100.00000000000003</v>
      </c>
      <c r="G112" s="560">
        <f aca="true" t="shared" si="44" ref="G112:S112">G113</f>
        <v>509400.00000000006</v>
      </c>
      <c r="H112" s="560">
        <f t="shared" si="44"/>
        <v>508735.50000000006</v>
      </c>
      <c r="I112" s="560">
        <f t="shared" si="44"/>
        <v>364504.57</v>
      </c>
      <c r="J112" s="560">
        <f t="shared" si="44"/>
        <v>144230.92999999996</v>
      </c>
      <c r="K112" s="560">
        <f t="shared" si="44"/>
        <v>0</v>
      </c>
      <c r="L112" s="560">
        <f t="shared" si="44"/>
        <v>664.5</v>
      </c>
      <c r="M112" s="560">
        <f t="shared" si="44"/>
        <v>0</v>
      </c>
      <c r="N112" s="560">
        <f t="shared" si="44"/>
        <v>0</v>
      </c>
      <c r="O112" s="560">
        <f t="shared" si="44"/>
        <v>0</v>
      </c>
      <c r="P112" s="560">
        <f t="shared" si="44"/>
        <v>0</v>
      </c>
      <c r="Q112" s="560">
        <f t="shared" si="44"/>
        <v>0</v>
      </c>
      <c r="R112" s="560">
        <f t="shared" si="44"/>
        <v>0</v>
      </c>
      <c r="S112" s="560">
        <f t="shared" si="44"/>
        <v>0</v>
      </c>
    </row>
    <row r="113" spans="1:19" ht="13.5" customHeight="1">
      <c r="A113" s="555"/>
      <c r="B113" s="554" t="s">
        <v>76</v>
      </c>
      <c r="C113" s="554"/>
      <c r="D113" s="560">
        <f>SUM(D114:D130)</f>
        <v>509400</v>
      </c>
      <c r="E113" s="560">
        <f>SUM(E114:E130)</f>
        <v>509400.00000000006</v>
      </c>
      <c r="F113" s="560">
        <f>E113/D113*100</f>
        <v>100.00000000000003</v>
      </c>
      <c r="G113" s="560">
        <f aca="true" t="shared" si="45" ref="G113:S113">SUM(G114:G130)</f>
        <v>509400.00000000006</v>
      </c>
      <c r="H113" s="560">
        <f t="shared" si="45"/>
        <v>508735.50000000006</v>
      </c>
      <c r="I113" s="560">
        <f t="shared" si="45"/>
        <v>364504.57</v>
      </c>
      <c r="J113" s="560">
        <f t="shared" si="45"/>
        <v>144230.92999999996</v>
      </c>
      <c r="K113" s="560">
        <f t="shared" si="45"/>
        <v>0</v>
      </c>
      <c r="L113" s="560">
        <f t="shared" si="45"/>
        <v>664.5</v>
      </c>
      <c r="M113" s="560">
        <f t="shared" si="45"/>
        <v>0</v>
      </c>
      <c r="N113" s="560">
        <f t="shared" si="45"/>
        <v>0</v>
      </c>
      <c r="O113" s="560">
        <f t="shared" si="45"/>
        <v>0</v>
      </c>
      <c r="P113" s="560">
        <f t="shared" si="45"/>
        <v>0</v>
      </c>
      <c r="Q113" s="560">
        <f t="shared" si="45"/>
        <v>0</v>
      </c>
      <c r="R113" s="560">
        <f t="shared" si="45"/>
        <v>0</v>
      </c>
      <c r="S113" s="560">
        <f t="shared" si="45"/>
        <v>0</v>
      </c>
    </row>
    <row r="114" spans="1:19" ht="13.5" customHeight="1">
      <c r="A114" s="561"/>
      <c r="B114" s="561"/>
      <c r="C114" s="562" t="s">
        <v>307</v>
      </c>
      <c r="D114" s="563">
        <v>665</v>
      </c>
      <c r="E114" s="563">
        <f>G114+P114</f>
        <v>664.5</v>
      </c>
      <c r="F114" s="563">
        <f>E114/D114*100</f>
        <v>99.92481203007519</v>
      </c>
      <c r="G114" s="563">
        <f>H114+K114+L114+M114+N114+O114</f>
        <v>664.5</v>
      </c>
      <c r="H114" s="563">
        <f>SUM(I114:J114)</f>
        <v>0</v>
      </c>
      <c r="I114" s="563">
        <v>0</v>
      </c>
      <c r="J114" s="563">
        <v>0</v>
      </c>
      <c r="K114" s="563">
        <v>0</v>
      </c>
      <c r="L114" s="563">
        <v>664.5</v>
      </c>
      <c r="M114" s="563">
        <v>0</v>
      </c>
      <c r="N114" s="563">
        <v>0</v>
      </c>
      <c r="O114" s="563">
        <v>0</v>
      </c>
      <c r="P114" s="563">
        <f>Q114+S114</f>
        <v>0</v>
      </c>
      <c r="Q114" s="563">
        <v>0</v>
      </c>
      <c r="R114" s="564">
        <v>0</v>
      </c>
      <c r="S114" s="563">
        <v>0</v>
      </c>
    </row>
    <row r="115" spans="1:19" ht="13.5" customHeight="1">
      <c r="A115" s="561"/>
      <c r="B115" s="561"/>
      <c r="C115" s="562" t="s">
        <v>295</v>
      </c>
      <c r="D115" s="563">
        <v>223666</v>
      </c>
      <c r="E115" s="563">
        <f>G115+P115</f>
        <v>223665.84</v>
      </c>
      <c r="F115" s="563">
        <f>E115/D115*100</f>
        <v>99.99992846476442</v>
      </c>
      <c r="G115" s="563">
        <f>H115+K115+L115+M115+N115+O115</f>
        <v>223665.84</v>
      </c>
      <c r="H115" s="563">
        <f>SUM(I115:J115)</f>
        <v>223665.84</v>
      </c>
      <c r="I115" s="563">
        <v>223665.84</v>
      </c>
      <c r="J115" s="563">
        <v>0</v>
      </c>
      <c r="K115" s="563">
        <v>0</v>
      </c>
      <c r="L115" s="563">
        <v>0</v>
      </c>
      <c r="M115" s="563">
        <v>0</v>
      </c>
      <c r="N115" s="563">
        <v>0</v>
      </c>
      <c r="O115" s="563">
        <v>0</v>
      </c>
      <c r="P115" s="563">
        <f>Q115+S115</f>
        <v>0</v>
      </c>
      <c r="Q115" s="563">
        <v>0</v>
      </c>
      <c r="R115" s="564">
        <v>0</v>
      </c>
      <c r="S115" s="563">
        <v>0</v>
      </c>
    </row>
    <row r="116" spans="1:19" ht="13.5" customHeight="1">
      <c r="A116" s="561"/>
      <c r="B116" s="561"/>
      <c r="C116" s="562" t="s">
        <v>296</v>
      </c>
      <c r="D116" s="563">
        <v>17330</v>
      </c>
      <c r="E116" s="563">
        <f>G116+P116</f>
        <v>17329.87</v>
      </c>
      <c r="F116" s="563">
        <f>E116/D116*100</f>
        <v>99.99924985574148</v>
      </c>
      <c r="G116" s="563">
        <f>H116+K116+L116+M116+N116+O116</f>
        <v>17329.87</v>
      </c>
      <c r="H116" s="563">
        <f>SUM(I116:J116)</f>
        <v>17329.87</v>
      </c>
      <c r="I116" s="563">
        <v>17329.87</v>
      </c>
      <c r="J116" s="563">
        <v>0</v>
      </c>
      <c r="K116" s="563">
        <v>0</v>
      </c>
      <c r="L116" s="563">
        <v>0</v>
      </c>
      <c r="M116" s="563">
        <v>0</v>
      </c>
      <c r="N116" s="563">
        <v>0</v>
      </c>
      <c r="O116" s="563">
        <v>0</v>
      </c>
      <c r="P116" s="563">
        <f>Q116+S116</f>
        <v>0</v>
      </c>
      <c r="Q116" s="563">
        <v>0</v>
      </c>
      <c r="R116" s="564">
        <v>0</v>
      </c>
      <c r="S116" s="563">
        <v>0</v>
      </c>
    </row>
    <row r="117" spans="1:19" ht="13.5" customHeight="1">
      <c r="A117" s="561"/>
      <c r="B117" s="561"/>
      <c r="C117" s="562" t="s">
        <v>297</v>
      </c>
      <c r="D117" s="563">
        <v>43601</v>
      </c>
      <c r="E117" s="563">
        <f aca="true" t="shared" si="46" ref="E117:E129">G117+P117</f>
        <v>43601.11</v>
      </c>
      <c r="F117" s="563">
        <f aca="true" t="shared" si="47" ref="F117:F129">E117/D117*100</f>
        <v>100.00025228779157</v>
      </c>
      <c r="G117" s="563">
        <f aca="true" t="shared" si="48" ref="G117:G129">H117+K117+L117+M117+N117+O117</f>
        <v>43601.11</v>
      </c>
      <c r="H117" s="563">
        <f aca="true" t="shared" si="49" ref="H117:H129">SUM(I117:J117)</f>
        <v>43601.11</v>
      </c>
      <c r="I117" s="563">
        <v>43601.11</v>
      </c>
      <c r="J117" s="563">
        <v>0</v>
      </c>
      <c r="K117" s="563">
        <v>0</v>
      </c>
      <c r="L117" s="563">
        <v>0</v>
      </c>
      <c r="M117" s="563">
        <v>0</v>
      </c>
      <c r="N117" s="563">
        <v>0</v>
      </c>
      <c r="O117" s="563">
        <v>0</v>
      </c>
      <c r="P117" s="563">
        <f aca="true" t="shared" si="50" ref="P117:P129">Q117+S117</f>
        <v>0</v>
      </c>
      <c r="Q117" s="563">
        <v>0</v>
      </c>
      <c r="R117" s="564">
        <v>0</v>
      </c>
      <c r="S117" s="563">
        <v>0</v>
      </c>
    </row>
    <row r="118" spans="1:19" ht="13.5" customHeight="1">
      <c r="A118" s="561"/>
      <c r="B118" s="561"/>
      <c r="C118" s="562" t="s">
        <v>298</v>
      </c>
      <c r="D118" s="563">
        <v>4667</v>
      </c>
      <c r="E118" s="563">
        <f t="shared" si="46"/>
        <v>4666.75</v>
      </c>
      <c r="F118" s="563">
        <f t="shared" si="47"/>
        <v>99.99464323976859</v>
      </c>
      <c r="G118" s="563">
        <f t="shared" si="48"/>
        <v>4666.75</v>
      </c>
      <c r="H118" s="563">
        <f t="shared" si="49"/>
        <v>4666.75</v>
      </c>
      <c r="I118" s="563">
        <v>4666.75</v>
      </c>
      <c r="J118" s="563">
        <v>0</v>
      </c>
      <c r="K118" s="563">
        <v>0</v>
      </c>
      <c r="L118" s="563">
        <v>0</v>
      </c>
      <c r="M118" s="563">
        <v>0</v>
      </c>
      <c r="N118" s="563">
        <v>0</v>
      </c>
      <c r="O118" s="563">
        <v>0</v>
      </c>
      <c r="P118" s="563">
        <f t="shared" si="50"/>
        <v>0</v>
      </c>
      <c r="Q118" s="563">
        <v>0</v>
      </c>
      <c r="R118" s="564">
        <v>0</v>
      </c>
      <c r="S118" s="563">
        <v>0</v>
      </c>
    </row>
    <row r="119" spans="1:19" ht="13.5" customHeight="1">
      <c r="A119" s="561"/>
      <c r="B119" s="561"/>
      <c r="C119" s="562" t="s">
        <v>305</v>
      </c>
      <c r="D119" s="563">
        <v>75241</v>
      </c>
      <c r="E119" s="563">
        <f t="shared" si="46"/>
        <v>75241</v>
      </c>
      <c r="F119" s="563">
        <f t="shared" si="47"/>
        <v>100</v>
      </c>
      <c r="G119" s="563">
        <f t="shared" si="48"/>
        <v>75241</v>
      </c>
      <c r="H119" s="563">
        <f t="shared" si="49"/>
        <v>75241</v>
      </c>
      <c r="I119" s="563">
        <v>75241</v>
      </c>
      <c r="J119" s="563">
        <v>0</v>
      </c>
      <c r="K119" s="563">
        <v>0</v>
      </c>
      <c r="L119" s="563">
        <v>0</v>
      </c>
      <c r="M119" s="563">
        <v>0</v>
      </c>
      <c r="N119" s="563">
        <v>0</v>
      </c>
      <c r="O119" s="563">
        <v>0</v>
      </c>
      <c r="P119" s="563">
        <f t="shared" si="50"/>
        <v>0</v>
      </c>
      <c r="Q119" s="563">
        <v>0</v>
      </c>
      <c r="R119" s="564">
        <v>0</v>
      </c>
      <c r="S119" s="563">
        <v>0</v>
      </c>
    </row>
    <row r="120" spans="1:19" ht="13.5" customHeight="1">
      <c r="A120" s="561"/>
      <c r="B120" s="561"/>
      <c r="C120" s="562" t="s">
        <v>123</v>
      </c>
      <c r="D120" s="563">
        <v>14675</v>
      </c>
      <c r="E120" s="563">
        <f t="shared" si="46"/>
        <v>14675.49</v>
      </c>
      <c r="F120" s="563">
        <f t="shared" si="47"/>
        <v>100.00333901192504</v>
      </c>
      <c r="G120" s="563">
        <f t="shared" si="48"/>
        <v>14675.49</v>
      </c>
      <c r="H120" s="563">
        <f t="shared" si="49"/>
        <v>14675.49</v>
      </c>
      <c r="I120" s="563">
        <v>0</v>
      </c>
      <c r="J120" s="563">
        <v>14675.49</v>
      </c>
      <c r="K120" s="563">
        <v>0</v>
      </c>
      <c r="L120" s="563">
        <v>0</v>
      </c>
      <c r="M120" s="563">
        <v>0</v>
      </c>
      <c r="N120" s="563">
        <v>0</v>
      </c>
      <c r="O120" s="563">
        <v>0</v>
      </c>
      <c r="P120" s="563">
        <f t="shared" si="50"/>
        <v>0</v>
      </c>
      <c r="Q120" s="563">
        <v>0</v>
      </c>
      <c r="R120" s="564">
        <v>0</v>
      </c>
      <c r="S120" s="563">
        <v>0</v>
      </c>
    </row>
    <row r="121" spans="1:19" ht="13.5" customHeight="1">
      <c r="A121" s="561"/>
      <c r="B121" s="561"/>
      <c r="C121" s="562" t="s">
        <v>315</v>
      </c>
      <c r="D121" s="563">
        <v>9789</v>
      </c>
      <c r="E121" s="563">
        <f t="shared" si="46"/>
        <v>9789.09</v>
      </c>
      <c r="F121" s="563">
        <f t="shared" si="47"/>
        <v>100.00091939932578</v>
      </c>
      <c r="G121" s="563">
        <f t="shared" si="48"/>
        <v>9789.09</v>
      </c>
      <c r="H121" s="563">
        <f t="shared" si="49"/>
        <v>9789.09</v>
      </c>
      <c r="I121" s="563">
        <v>0</v>
      </c>
      <c r="J121" s="563">
        <v>9789.09</v>
      </c>
      <c r="K121" s="563">
        <v>0</v>
      </c>
      <c r="L121" s="563">
        <v>0</v>
      </c>
      <c r="M121" s="563">
        <v>0</v>
      </c>
      <c r="N121" s="563">
        <v>0</v>
      </c>
      <c r="O121" s="563">
        <v>0</v>
      </c>
      <c r="P121" s="563">
        <f t="shared" si="50"/>
        <v>0</v>
      </c>
      <c r="Q121" s="563">
        <v>0</v>
      </c>
      <c r="R121" s="564">
        <v>0</v>
      </c>
      <c r="S121" s="563">
        <v>0</v>
      </c>
    </row>
    <row r="122" spans="1:19" ht="13.5" customHeight="1">
      <c r="A122" s="561"/>
      <c r="B122" s="561"/>
      <c r="C122" s="562" t="s">
        <v>124</v>
      </c>
      <c r="D122" s="563">
        <v>1771</v>
      </c>
      <c r="E122" s="563">
        <f t="shared" si="46"/>
        <v>1771.2</v>
      </c>
      <c r="F122" s="563">
        <f t="shared" si="47"/>
        <v>100.01129305477133</v>
      </c>
      <c r="G122" s="563">
        <f t="shared" si="48"/>
        <v>1771.2</v>
      </c>
      <c r="H122" s="563">
        <f t="shared" si="49"/>
        <v>1771.2</v>
      </c>
      <c r="I122" s="563">
        <v>0</v>
      </c>
      <c r="J122" s="563">
        <v>1771.2</v>
      </c>
      <c r="K122" s="563">
        <v>0</v>
      </c>
      <c r="L122" s="563">
        <v>0</v>
      </c>
      <c r="M122" s="563">
        <v>0</v>
      </c>
      <c r="N122" s="563">
        <v>0</v>
      </c>
      <c r="O122" s="563">
        <v>0</v>
      </c>
      <c r="P122" s="563">
        <f t="shared" si="50"/>
        <v>0</v>
      </c>
      <c r="Q122" s="563">
        <v>0</v>
      </c>
      <c r="R122" s="564">
        <v>0</v>
      </c>
      <c r="S122" s="563">
        <v>0</v>
      </c>
    </row>
    <row r="123" spans="1:19" ht="13.5" customHeight="1">
      <c r="A123" s="561"/>
      <c r="B123" s="561"/>
      <c r="C123" s="562" t="s">
        <v>306</v>
      </c>
      <c r="D123" s="563">
        <v>529</v>
      </c>
      <c r="E123" s="563">
        <f t="shared" si="46"/>
        <v>529</v>
      </c>
      <c r="F123" s="563">
        <f t="shared" si="47"/>
        <v>100</v>
      </c>
      <c r="G123" s="563">
        <f t="shared" si="48"/>
        <v>529</v>
      </c>
      <c r="H123" s="563">
        <f t="shared" si="49"/>
        <v>529</v>
      </c>
      <c r="I123" s="563">
        <v>0</v>
      </c>
      <c r="J123" s="563">
        <v>529</v>
      </c>
      <c r="K123" s="563">
        <v>0</v>
      </c>
      <c r="L123" s="563">
        <v>0</v>
      </c>
      <c r="M123" s="563">
        <v>0</v>
      </c>
      <c r="N123" s="563">
        <v>0</v>
      </c>
      <c r="O123" s="563">
        <v>0</v>
      </c>
      <c r="P123" s="563">
        <f t="shared" si="50"/>
        <v>0</v>
      </c>
      <c r="Q123" s="563">
        <v>0</v>
      </c>
      <c r="R123" s="564">
        <v>0</v>
      </c>
      <c r="S123" s="563">
        <v>0</v>
      </c>
    </row>
    <row r="124" spans="1:19" ht="13.5" customHeight="1">
      <c r="A124" s="561"/>
      <c r="B124" s="561"/>
      <c r="C124" s="562" t="s">
        <v>125</v>
      </c>
      <c r="D124" s="563">
        <v>54148</v>
      </c>
      <c r="E124" s="563">
        <f t="shared" si="46"/>
        <v>54147.55</v>
      </c>
      <c r="F124" s="563">
        <f t="shared" si="47"/>
        <v>99.99916894437469</v>
      </c>
      <c r="G124" s="563">
        <f t="shared" si="48"/>
        <v>54147.55</v>
      </c>
      <c r="H124" s="563">
        <f t="shared" si="49"/>
        <v>54147.55</v>
      </c>
      <c r="I124" s="563">
        <v>0</v>
      </c>
      <c r="J124" s="563">
        <v>54147.55</v>
      </c>
      <c r="K124" s="563">
        <v>0</v>
      </c>
      <c r="L124" s="563">
        <v>0</v>
      </c>
      <c r="M124" s="563">
        <v>0</v>
      </c>
      <c r="N124" s="563">
        <v>0</v>
      </c>
      <c r="O124" s="563">
        <v>0</v>
      </c>
      <c r="P124" s="563">
        <f t="shared" si="50"/>
        <v>0</v>
      </c>
      <c r="Q124" s="563">
        <v>0</v>
      </c>
      <c r="R124" s="564">
        <v>0</v>
      </c>
      <c r="S124" s="563">
        <v>0</v>
      </c>
    </row>
    <row r="125" spans="1:19" ht="13.5" customHeight="1">
      <c r="A125" s="561"/>
      <c r="B125" s="561"/>
      <c r="C125" s="562" t="s">
        <v>300</v>
      </c>
      <c r="D125" s="563">
        <v>3550</v>
      </c>
      <c r="E125" s="563">
        <f t="shared" si="46"/>
        <v>3549.84</v>
      </c>
      <c r="F125" s="563">
        <f t="shared" si="47"/>
        <v>99.99549295774648</v>
      </c>
      <c r="G125" s="563">
        <f t="shared" si="48"/>
        <v>3549.84</v>
      </c>
      <c r="H125" s="563">
        <f t="shared" si="49"/>
        <v>3549.84</v>
      </c>
      <c r="I125" s="563">
        <v>0</v>
      </c>
      <c r="J125" s="563">
        <v>3549.84</v>
      </c>
      <c r="K125" s="563">
        <v>0</v>
      </c>
      <c r="L125" s="563">
        <v>0</v>
      </c>
      <c r="M125" s="563">
        <v>0</v>
      </c>
      <c r="N125" s="563">
        <v>0</v>
      </c>
      <c r="O125" s="563">
        <v>0</v>
      </c>
      <c r="P125" s="563">
        <f t="shared" si="50"/>
        <v>0</v>
      </c>
      <c r="Q125" s="563">
        <v>0</v>
      </c>
      <c r="R125" s="564">
        <v>0</v>
      </c>
      <c r="S125" s="563">
        <v>0</v>
      </c>
    </row>
    <row r="126" spans="1:19" ht="13.5" customHeight="1">
      <c r="A126" s="561"/>
      <c r="B126" s="561"/>
      <c r="C126" s="562" t="s">
        <v>301</v>
      </c>
      <c r="D126" s="563">
        <v>47414</v>
      </c>
      <c r="E126" s="563">
        <f t="shared" si="46"/>
        <v>47414</v>
      </c>
      <c r="F126" s="563">
        <f t="shared" si="47"/>
        <v>100</v>
      </c>
      <c r="G126" s="563">
        <f t="shared" si="48"/>
        <v>47414</v>
      </c>
      <c r="H126" s="563">
        <f t="shared" si="49"/>
        <v>47414</v>
      </c>
      <c r="I126" s="563">
        <v>0</v>
      </c>
      <c r="J126" s="563">
        <v>47414</v>
      </c>
      <c r="K126" s="563">
        <v>0</v>
      </c>
      <c r="L126" s="563">
        <v>0</v>
      </c>
      <c r="M126" s="563">
        <v>0</v>
      </c>
      <c r="N126" s="563">
        <v>0</v>
      </c>
      <c r="O126" s="563">
        <v>0</v>
      </c>
      <c r="P126" s="563">
        <f t="shared" si="50"/>
        <v>0</v>
      </c>
      <c r="Q126" s="563">
        <v>0</v>
      </c>
      <c r="R126" s="564">
        <v>0</v>
      </c>
      <c r="S126" s="563">
        <v>0</v>
      </c>
    </row>
    <row r="127" spans="1:19" ht="13.5" customHeight="1">
      <c r="A127" s="561"/>
      <c r="B127" s="561"/>
      <c r="C127" s="562" t="s">
        <v>302</v>
      </c>
      <c r="D127" s="563">
        <v>1651</v>
      </c>
      <c r="E127" s="563">
        <f>G127+P127</f>
        <v>1651.46</v>
      </c>
      <c r="F127" s="563">
        <f>E127/D127*100</f>
        <v>100.02786190187764</v>
      </c>
      <c r="G127" s="563">
        <f>H127+K127+L127+M127+N127+O127</f>
        <v>1651.46</v>
      </c>
      <c r="H127" s="563">
        <f>SUM(I127:J127)</f>
        <v>1651.46</v>
      </c>
      <c r="I127" s="563">
        <v>0</v>
      </c>
      <c r="J127" s="563">
        <v>1651.46</v>
      </c>
      <c r="K127" s="563">
        <v>0</v>
      </c>
      <c r="L127" s="563">
        <v>0</v>
      </c>
      <c r="M127" s="563">
        <v>0</v>
      </c>
      <c r="N127" s="563">
        <v>0</v>
      </c>
      <c r="O127" s="563">
        <v>0</v>
      </c>
      <c r="P127" s="563">
        <f>Q127+S127</f>
        <v>0</v>
      </c>
      <c r="Q127" s="563">
        <v>0</v>
      </c>
      <c r="R127" s="564">
        <v>0</v>
      </c>
      <c r="S127" s="563">
        <v>0</v>
      </c>
    </row>
    <row r="128" spans="1:19" ht="13.5" customHeight="1">
      <c r="A128" s="561"/>
      <c r="B128" s="561"/>
      <c r="C128" s="562" t="s">
        <v>303</v>
      </c>
      <c r="D128" s="563">
        <v>1416</v>
      </c>
      <c r="E128" s="563">
        <f>G128+P128</f>
        <v>1416</v>
      </c>
      <c r="F128" s="563">
        <f>E128/D128*100</f>
        <v>100</v>
      </c>
      <c r="G128" s="563">
        <f>H128+K128+L128+M128+N128+O128</f>
        <v>1416</v>
      </c>
      <c r="H128" s="563">
        <f>SUM(I128:J128)</f>
        <v>1416</v>
      </c>
      <c r="I128" s="563">
        <v>0</v>
      </c>
      <c r="J128" s="563">
        <v>1416</v>
      </c>
      <c r="K128" s="563">
        <v>0</v>
      </c>
      <c r="L128" s="563">
        <v>0</v>
      </c>
      <c r="M128" s="563">
        <v>0</v>
      </c>
      <c r="N128" s="563">
        <v>0</v>
      </c>
      <c r="O128" s="563">
        <v>0</v>
      </c>
      <c r="P128" s="563">
        <f>Q128+S128</f>
        <v>0</v>
      </c>
      <c r="Q128" s="563">
        <v>0</v>
      </c>
      <c r="R128" s="564">
        <v>0</v>
      </c>
      <c r="S128" s="563">
        <v>0</v>
      </c>
    </row>
    <row r="129" spans="1:19" ht="13.5" customHeight="1">
      <c r="A129" s="561"/>
      <c r="B129" s="561"/>
      <c r="C129" s="562" t="s">
        <v>304</v>
      </c>
      <c r="D129" s="563">
        <v>8897</v>
      </c>
      <c r="E129" s="563">
        <f t="shared" si="46"/>
        <v>8897.3</v>
      </c>
      <c r="F129" s="563">
        <f t="shared" si="47"/>
        <v>100.00337192312014</v>
      </c>
      <c r="G129" s="563">
        <f t="shared" si="48"/>
        <v>8897.3</v>
      </c>
      <c r="H129" s="563">
        <f t="shared" si="49"/>
        <v>8897.3</v>
      </c>
      <c r="I129" s="563">
        <v>0</v>
      </c>
      <c r="J129" s="563">
        <v>8897.3</v>
      </c>
      <c r="K129" s="563">
        <v>0</v>
      </c>
      <c r="L129" s="563">
        <v>0</v>
      </c>
      <c r="M129" s="563">
        <v>0</v>
      </c>
      <c r="N129" s="563">
        <v>0</v>
      </c>
      <c r="O129" s="563">
        <v>0</v>
      </c>
      <c r="P129" s="563">
        <f t="shared" si="50"/>
        <v>0</v>
      </c>
      <c r="Q129" s="563">
        <v>0</v>
      </c>
      <c r="R129" s="564">
        <v>0</v>
      </c>
      <c r="S129" s="563">
        <v>0</v>
      </c>
    </row>
    <row r="130" spans="1:19" ht="13.5" customHeight="1">
      <c r="A130" s="561"/>
      <c r="B130" s="561"/>
      <c r="C130" s="562" t="s">
        <v>145</v>
      </c>
      <c r="D130" s="563">
        <v>390</v>
      </c>
      <c r="E130" s="563">
        <f>G130+P130</f>
        <v>390</v>
      </c>
      <c r="F130" s="563">
        <f>E130/D130*100</f>
        <v>100</v>
      </c>
      <c r="G130" s="563">
        <f>H130+K130+L130+M130+N130+O130</f>
        <v>390</v>
      </c>
      <c r="H130" s="563">
        <f>SUM(I130:J130)</f>
        <v>390</v>
      </c>
      <c r="I130" s="563">
        <v>0</v>
      </c>
      <c r="J130" s="563">
        <v>390</v>
      </c>
      <c r="K130" s="563">
        <v>0</v>
      </c>
      <c r="L130" s="563">
        <v>0</v>
      </c>
      <c r="M130" s="563">
        <v>0</v>
      </c>
      <c r="N130" s="563">
        <v>0</v>
      </c>
      <c r="O130" s="563">
        <v>0</v>
      </c>
      <c r="P130" s="563">
        <f>Q130+S130</f>
        <v>0</v>
      </c>
      <c r="Q130" s="563">
        <v>0</v>
      </c>
      <c r="R130" s="564">
        <v>0</v>
      </c>
      <c r="S130" s="563">
        <v>0</v>
      </c>
    </row>
    <row r="131" spans="1:19" s="565" customFormat="1" ht="16.5" customHeight="1">
      <c r="A131" s="803" t="s">
        <v>286</v>
      </c>
      <c r="B131" s="803"/>
      <c r="C131" s="803"/>
      <c r="D131" s="560">
        <f>D13+D16+D24+D53+D66+D71+D106+D109+D112+D101</f>
        <v>9952218</v>
      </c>
      <c r="E131" s="560">
        <f>E13+E16+E24+E53+E66+E71+E106+E109+E112+E101</f>
        <v>9895979.37</v>
      </c>
      <c r="F131" s="560">
        <f>E131/D131*100</f>
        <v>99.4349136041835</v>
      </c>
      <c r="G131" s="560">
        <f aca="true" t="shared" si="51" ref="G131:S131">G13+G16+G24+G53+G66+G71+G106+G109+G112+G101</f>
        <v>9895979.37</v>
      </c>
      <c r="H131" s="560">
        <f t="shared" si="51"/>
        <v>7050755.420000001</v>
      </c>
      <c r="I131" s="560">
        <f t="shared" si="51"/>
        <v>5922156.3100000005</v>
      </c>
      <c r="J131" s="560">
        <f t="shared" si="51"/>
        <v>1128599.11</v>
      </c>
      <c r="K131" s="560">
        <f t="shared" si="51"/>
        <v>0</v>
      </c>
      <c r="L131" s="560">
        <f t="shared" si="51"/>
        <v>2845223.95</v>
      </c>
      <c r="M131" s="560">
        <f t="shared" si="51"/>
        <v>0</v>
      </c>
      <c r="N131" s="560">
        <f t="shared" si="51"/>
        <v>0</v>
      </c>
      <c r="O131" s="560">
        <f t="shared" si="51"/>
        <v>0</v>
      </c>
      <c r="P131" s="560">
        <f t="shared" si="51"/>
        <v>0</v>
      </c>
      <c r="Q131" s="560">
        <f t="shared" si="51"/>
        <v>0</v>
      </c>
      <c r="R131" s="560">
        <f t="shared" si="51"/>
        <v>0</v>
      </c>
      <c r="S131" s="560">
        <f t="shared" si="51"/>
        <v>0</v>
      </c>
    </row>
    <row r="134" ht="12.75">
      <c r="E134" s="570"/>
    </row>
  </sheetData>
  <sheetProtection/>
  <mergeCells count="25">
    <mergeCell ref="L10:L12"/>
    <mergeCell ref="M10:M12"/>
    <mergeCell ref="N10:N12"/>
    <mergeCell ref="S9:S12"/>
    <mergeCell ref="O10:O12"/>
    <mergeCell ref="A131:C131"/>
    <mergeCell ref="Q9:Q12"/>
    <mergeCell ref="K10:K12"/>
    <mergeCell ref="R9:R10"/>
    <mergeCell ref="D7:D12"/>
    <mergeCell ref="H8:O9"/>
    <mergeCell ref="H10:H12"/>
    <mergeCell ref="I10:J11"/>
    <mergeCell ref="P8:P12"/>
    <mergeCell ref="Q8:S8"/>
    <mergeCell ref="E7:E12"/>
    <mergeCell ref="F7:S7"/>
    <mergeCell ref="F8:F12"/>
    <mergeCell ref="G8:G12"/>
    <mergeCell ref="R11:R12"/>
    <mergeCell ref="A2:S2"/>
    <mergeCell ref="A3:S3"/>
    <mergeCell ref="A7:A12"/>
    <mergeCell ref="B7:B12"/>
    <mergeCell ref="C7:C12"/>
  </mergeCells>
  <printOptions horizontalCentered="1"/>
  <pageMargins left="0.35433070866141736" right="0.35433070866141736" top="0.5118110236220472" bottom="0.5118110236220472" header="0.5118110236220472" footer="0"/>
  <pageSetup firstPageNumber="86" useFirstPageNumber="1" horizontalDpi="600" verticalDpi="600" orientation="landscape" paperSize="9" r:id="rId1"/>
  <headerFooter alignWithMargins="0">
    <oddFooter>&amp;L&amp;P</oddFooter>
  </headerFooter>
  <rowBreaks count="1" manualBreakCount="1">
    <brk id="1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80" zoomScaleNormal="80" zoomScalePageLayoutView="0" workbookViewId="0" topLeftCell="A1">
      <selection activeCell="A6" sqref="A6"/>
    </sheetView>
  </sheetViews>
  <sheetFormatPr defaultColWidth="9.00390625" defaultRowHeight="12.75"/>
  <cols>
    <col min="1" max="1" width="4.375" style="571" customWidth="1"/>
    <col min="2" max="2" width="7.375" style="571" customWidth="1"/>
    <col min="3" max="3" width="5.375" style="572" customWidth="1"/>
    <col min="4" max="4" width="51.375" style="573" customWidth="1"/>
    <col min="5" max="5" width="15.75390625" style="573" hidden="1" customWidth="1"/>
    <col min="6" max="6" width="16.00390625" style="573" customWidth="1"/>
    <col min="7" max="7" width="16.25390625" style="573" customWidth="1"/>
    <col min="8" max="8" width="7.625" style="573" customWidth="1"/>
    <col min="9" max="16384" width="9.125" style="575" customWidth="1"/>
  </cols>
  <sheetData>
    <row r="1" spans="7:8" ht="18.75" customHeight="1">
      <c r="G1" s="828" t="s">
        <v>116</v>
      </c>
      <c r="H1" s="828"/>
    </row>
    <row r="2" ht="18.75" customHeight="1">
      <c r="H2" s="574"/>
    </row>
    <row r="3" ht="18.75" customHeight="1">
      <c r="H3" s="574"/>
    </row>
    <row r="4" spans="1:8" s="577" customFormat="1" ht="20.25" customHeight="1">
      <c r="A4" s="827" t="s">
        <v>74</v>
      </c>
      <c r="B4" s="827"/>
      <c r="C4" s="827"/>
      <c r="D4" s="827"/>
      <c r="E4" s="827"/>
      <c r="F4" s="827"/>
      <c r="G4" s="827"/>
      <c r="H4" s="827"/>
    </row>
    <row r="5" spans="1:8" s="577" customFormat="1" ht="19.5" customHeight="1">
      <c r="A5" s="827" t="s">
        <v>637</v>
      </c>
      <c r="B5" s="827"/>
      <c r="C5" s="827"/>
      <c r="D5" s="827"/>
      <c r="E5" s="827"/>
      <c r="F5" s="827"/>
      <c r="G5" s="827"/>
      <c r="H5" s="827"/>
    </row>
    <row r="6" spans="1:8" s="577" customFormat="1" ht="21" customHeight="1">
      <c r="A6" s="576"/>
      <c r="B6" s="576"/>
      <c r="C6" s="576"/>
      <c r="D6" s="576"/>
      <c r="E6" s="576"/>
      <c r="F6" s="576"/>
      <c r="G6" s="576"/>
      <c r="H6" s="576"/>
    </row>
    <row r="7" spans="1:8" ht="21" customHeight="1" thickBot="1">
      <c r="A7" s="578"/>
      <c r="B7" s="578"/>
      <c r="C7" s="579"/>
      <c r="D7" s="580"/>
      <c r="E7" s="581"/>
      <c r="F7" s="581"/>
      <c r="H7" s="582"/>
    </row>
    <row r="8" spans="5:8" ht="21" customHeight="1" thickBot="1">
      <c r="E8" s="583"/>
      <c r="F8" s="584" t="s">
        <v>121</v>
      </c>
      <c r="G8" s="584" t="s">
        <v>122</v>
      </c>
      <c r="H8" s="582"/>
    </row>
    <row r="9" spans="1:8" s="577" customFormat="1" ht="23.25" customHeight="1">
      <c r="A9" s="585"/>
      <c r="B9" s="585"/>
      <c r="C9" s="586"/>
      <c r="D9" s="587" t="s">
        <v>79</v>
      </c>
      <c r="E9" s="588">
        <f>SUM(E11:E11)</f>
        <v>2095835</v>
      </c>
      <c r="F9" s="588">
        <f>SUM(F11:F11)</f>
        <v>1500000</v>
      </c>
      <c r="G9" s="588">
        <f>SUM(G11:G11)</f>
        <v>1500000</v>
      </c>
      <c r="H9" s="589">
        <f>G9/F9*100</f>
        <v>100</v>
      </c>
    </row>
    <row r="10" spans="1:8" ht="19.5" customHeight="1">
      <c r="A10" s="590"/>
      <c r="B10" s="590" t="s">
        <v>78</v>
      </c>
      <c r="C10" s="591"/>
      <c r="D10" s="592"/>
      <c r="E10" s="592"/>
      <c r="F10" s="592"/>
      <c r="G10" s="592"/>
      <c r="H10" s="592"/>
    </row>
    <row r="11" spans="1:8" ht="19.5" customHeight="1" thickBot="1">
      <c r="A11" s="593"/>
      <c r="B11" s="593"/>
      <c r="C11" s="594">
        <v>982</v>
      </c>
      <c r="D11" s="595" t="s">
        <v>600</v>
      </c>
      <c r="E11" s="596">
        <v>2095835</v>
      </c>
      <c r="F11" s="596">
        <v>1500000</v>
      </c>
      <c r="G11" s="596">
        <v>1500000</v>
      </c>
      <c r="H11" s="596">
        <f>G11/F11*100</f>
        <v>100</v>
      </c>
    </row>
    <row r="12" spans="4:8" ht="18.75" customHeight="1">
      <c r="D12" s="597"/>
      <c r="H12" s="582"/>
    </row>
    <row r="13" spans="4:8" ht="18.75" customHeight="1">
      <c r="D13" s="597"/>
      <c r="F13" s="598"/>
      <c r="G13" s="598"/>
      <c r="H13" s="599"/>
    </row>
    <row r="14" spans="1:8" s="605" customFormat="1" ht="18.75" customHeight="1">
      <c r="A14" s="600"/>
      <c r="B14" s="600"/>
      <c r="C14" s="601"/>
      <c r="D14" s="602" t="s">
        <v>118</v>
      </c>
      <c r="E14" s="603"/>
      <c r="F14" s="604">
        <f>'Wydatki wł'!D495+'Wydatki admi'!D131</f>
        <v>67223146</v>
      </c>
      <c r="G14" s="604">
        <f>'Wydatki wł'!E495+'Wydatki admi'!E131</f>
        <v>64186965.42000001</v>
      </c>
      <c r="H14" s="599">
        <f>G14/F14*100</f>
        <v>95.483429799611</v>
      </c>
    </row>
    <row r="15" spans="1:8" s="605" customFormat="1" ht="18.75" customHeight="1">
      <c r="A15" s="600"/>
      <c r="B15" s="600"/>
      <c r="C15" s="601"/>
      <c r="D15" s="602"/>
      <c r="E15" s="603"/>
      <c r="F15" s="604"/>
      <c r="G15" s="604"/>
      <c r="H15" s="599"/>
    </row>
    <row r="16" spans="1:8" s="610" customFormat="1" ht="18.75" customHeight="1">
      <c r="A16" s="606"/>
      <c r="B16" s="606"/>
      <c r="C16" s="607"/>
      <c r="D16" s="608" t="s">
        <v>68</v>
      </c>
      <c r="E16" s="609" t="e">
        <f>#REF!+E9</f>
        <v>#REF!</v>
      </c>
      <c r="F16" s="604">
        <f>F14+F9</f>
        <v>68723146</v>
      </c>
      <c r="G16" s="604">
        <f>G14+G9</f>
        <v>65686965.42000001</v>
      </c>
      <c r="H16" s="599">
        <f>G16/F16*100</f>
        <v>95.58201165586921</v>
      </c>
    </row>
    <row r="17" spans="4:8" ht="18.75" customHeight="1">
      <c r="D17" s="611"/>
      <c r="H17" s="582"/>
    </row>
    <row r="18" spans="4:8" ht="18.75" customHeight="1">
      <c r="D18" s="597"/>
      <c r="H18" s="582"/>
    </row>
    <row r="19" spans="1:8" s="616" customFormat="1" ht="18.75" customHeight="1">
      <c r="A19" s="612"/>
      <c r="B19" s="612"/>
      <c r="C19" s="613"/>
      <c r="D19" s="614"/>
      <c r="E19" s="615"/>
      <c r="F19" s="604"/>
      <c r="G19" s="604"/>
      <c r="H19" s="582"/>
    </row>
    <row r="20" spans="1:8" s="616" customFormat="1" ht="17.25" customHeight="1">
      <c r="A20" s="612"/>
      <c r="B20" s="612"/>
      <c r="C20" s="613"/>
      <c r="D20" s="614"/>
      <c r="E20" s="615"/>
      <c r="F20" s="604"/>
      <c r="G20" s="604"/>
      <c r="H20" s="582"/>
    </row>
    <row r="22" spans="1:8" s="619" customFormat="1" ht="20.25" customHeight="1">
      <c r="A22" s="617"/>
      <c r="B22" s="617"/>
      <c r="C22" s="618"/>
      <c r="D22" s="598"/>
      <c r="E22" s="598"/>
      <c r="F22" s="598"/>
      <c r="G22" s="598"/>
      <c r="H22" s="598"/>
    </row>
    <row r="23" ht="18.75" customHeight="1">
      <c r="B23" s="575"/>
    </row>
    <row r="24" spans="1:8" s="577" customFormat="1" ht="20.25" customHeight="1">
      <c r="A24" s="620"/>
      <c r="B24" s="620"/>
      <c r="C24" s="621"/>
      <c r="D24" s="622"/>
      <c r="E24" s="622"/>
      <c r="F24" s="622"/>
      <c r="G24" s="622"/>
      <c r="H24" s="622"/>
    </row>
  </sheetData>
  <sheetProtection/>
  <mergeCells count="3">
    <mergeCell ref="A4:H4"/>
    <mergeCell ref="A5:H5"/>
    <mergeCell ref="G1:H1"/>
  </mergeCells>
  <printOptions horizontalCentered="1"/>
  <pageMargins left="0.2755905511811024" right="0.2755905511811024" top="0.6299212598425197" bottom="0.7874015748031497" header="0.4724409448818898" footer="0.3937007874015748"/>
  <pageSetup firstPageNumber="90" useFirstPageNumber="1" horizontalDpi="300" verticalDpi="300" orientation="portrait" paperSize="9" scale="80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540"/>
  <sheetViews>
    <sheetView zoomScalePageLayoutView="0" workbookViewId="0" topLeftCell="A506">
      <selection activeCell="G529" sqref="G529"/>
    </sheetView>
  </sheetViews>
  <sheetFormatPr defaultColWidth="9.00390625" defaultRowHeight="12.75"/>
  <cols>
    <col min="1" max="1" width="4.875" style="318" customWidth="1"/>
    <col min="2" max="2" width="9.375" style="318" customWidth="1"/>
    <col min="3" max="3" width="5.625" style="319" customWidth="1"/>
    <col min="4" max="4" width="45.25390625" style="318" customWidth="1"/>
    <col min="5" max="5" width="13.625" style="442" hidden="1" customWidth="1"/>
    <col min="6" max="6" width="13.625" style="320" customWidth="1"/>
    <col min="7" max="7" width="12.625" style="320" customWidth="1"/>
    <col min="8" max="8" width="6.75390625" style="320" customWidth="1"/>
    <col min="9" max="16384" width="9.125" style="318" customWidth="1"/>
  </cols>
  <sheetData>
    <row r="1" spans="7:8" ht="12.75">
      <c r="G1" s="834" t="s">
        <v>148</v>
      </c>
      <c r="H1" s="834"/>
    </row>
    <row r="2" spans="1:8" s="321" customFormat="1" ht="20.25">
      <c r="A2" s="835" t="s">
        <v>149</v>
      </c>
      <c r="B2" s="835"/>
      <c r="C2" s="835"/>
      <c r="D2" s="835"/>
      <c r="E2" s="835"/>
      <c r="F2" s="835"/>
      <c r="G2" s="835"/>
      <c r="H2" s="835"/>
    </row>
    <row r="3" spans="1:8" s="321" customFormat="1" ht="21" thickBot="1">
      <c r="A3" s="835" t="s">
        <v>637</v>
      </c>
      <c r="B3" s="835"/>
      <c r="C3" s="835"/>
      <c r="D3" s="835"/>
      <c r="E3" s="835"/>
      <c r="F3" s="835"/>
      <c r="G3" s="835"/>
      <c r="H3" s="835"/>
    </row>
    <row r="4" spans="1:8" ht="19.5" thickBot="1">
      <c r="A4" s="836" t="s">
        <v>150</v>
      </c>
      <c r="B4" s="837"/>
      <c r="C4" s="838"/>
      <c r="D4" s="434"/>
      <c r="E4" s="443"/>
      <c r="F4" s="434"/>
      <c r="G4" s="434"/>
      <c r="H4" s="322">
        <f>7/13*100</f>
        <v>53.84615384615385</v>
      </c>
    </row>
    <row r="5" spans="1:8" ht="15" thickBot="1">
      <c r="A5" s="318" t="s">
        <v>4</v>
      </c>
      <c r="D5" s="323"/>
      <c r="F5" s="324"/>
      <c r="G5" s="324"/>
      <c r="H5" s="325"/>
    </row>
    <row r="6" spans="1:8" ht="24.75" thickBot="1">
      <c r="A6" s="326"/>
      <c r="B6" s="326"/>
      <c r="C6" s="327"/>
      <c r="D6" s="441"/>
      <c r="E6" s="444" t="s">
        <v>594</v>
      </c>
      <c r="F6" s="305" t="s">
        <v>151</v>
      </c>
      <c r="G6" s="309" t="s">
        <v>122</v>
      </c>
      <c r="H6" s="307" t="s">
        <v>644</v>
      </c>
    </row>
    <row r="7" spans="1:8" ht="19.5" thickBot="1">
      <c r="A7" s="831" t="s">
        <v>152</v>
      </c>
      <c r="B7" s="832"/>
      <c r="C7" s="832"/>
      <c r="D7" s="832"/>
      <c r="E7" s="832"/>
      <c r="F7" s="832"/>
      <c r="G7" s="832"/>
      <c r="H7" s="833"/>
    </row>
    <row r="8" spans="1:8" s="334" customFormat="1" ht="16.5" thickBot="1">
      <c r="A8" s="330"/>
      <c r="B8" s="331"/>
      <c r="C8" s="331"/>
      <c r="D8" s="332" t="s">
        <v>10</v>
      </c>
      <c r="E8" s="445">
        <f>E16+E38+E42+E45+E9</f>
        <v>1925877</v>
      </c>
      <c r="F8" s="333">
        <f>F16+F38+F42+F45+F9</f>
        <v>2004384</v>
      </c>
      <c r="G8" s="333">
        <f>G16+G38+G42+G45+G9</f>
        <v>1967780.54</v>
      </c>
      <c r="H8" s="333">
        <f aca="true" t="shared" si="0" ref="H8:H46">G8/F8*100</f>
        <v>98.17382996471734</v>
      </c>
    </row>
    <row r="9" spans="1:8" s="334" customFormat="1" ht="16.5" thickBot="1">
      <c r="A9" s="335">
        <v>801</v>
      </c>
      <c r="B9" s="330">
        <v>80110</v>
      </c>
      <c r="C9" s="330" t="s">
        <v>4</v>
      </c>
      <c r="D9" s="336" t="s">
        <v>504</v>
      </c>
      <c r="E9" s="446">
        <f>SUM(E10:E15)</f>
        <v>443693</v>
      </c>
      <c r="F9" s="311">
        <f>SUM(F10:F15)</f>
        <v>364421</v>
      </c>
      <c r="G9" s="311">
        <f>SUM(G10:G15)</f>
        <v>337691.64</v>
      </c>
      <c r="H9" s="311">
        <f aca="true" t="shared" si="1" ref="H9:H15">G9/F9*100</f>
        <v>92.66525255130742</v>
      </c>
    </row>
    <row r="10" spans="1:8" s="334" customFormat="1" ht="15.75">
      <c r="A10" s="335"/>
      <c r="B10" s="337"/>
      <c r="C10" s="338">
        <v>3020</v>
      </c>
      <c r="D10" s="339" t="s">
        <v>101</v>
      </c>
      <c r="E10" s="447">
        <v>502</v>
      </c>
      <c r="F10" s="340">
        <v>502</v>
      </c>
      <c r="G10" s="340">
        <v>100</v>
      </c>
      <c r="H10" s="340">
        <f t="shared" si="1"/>
        <v>19.9203187250996</v>
      </c>
    </row>
    <row r="11" spans="1:8" s="334" customFormat="1" ht="15.75">
      <c r="A11" s="335"/>
      <c r="B11" s="337"/>
      <c r="C11" s="341">
        <v>4010</v>
      </c>
      <c r="D11" s="342" t="s">
        <v>0</v>
      </c>
      <c r="E11" s="448">
        <v>324380</v>
      </c>
      <c r="F11" s="343">
        <v>261080</v>
      </c>
      <c r="G11" s="343">
        <v>239887.56</v>
      </c>
      <c r="H11" s="343">
        <f t="shared" si="1"/>
        <v>91.88277922475869</v>
      </c>
    </row>
    <row r="12" spans="1:8" s="334" customFormat="1" ht="15.75">
      <c r="A12" s="335"/>
      <c r="B12" s="337"/>
      <c r="C12" s="341">
        <v>4040</v>
      </c>
      <c r="D12" s="342" t="s">
        <v>5</v>
      </c>
      <c r="E12" s="448">
        <v>26162</v>
      </c>
      <c r="F12" s="343">
        <v>26162</v>
      </c>
      <c r="G12" s="343">
        <v>26114.72</v>
      </c>
      <c r="H12" s="343">
        <f t="shared" si="1"/>
        <v>99.81927987156945</v>
      </c>
    </row>
    <row r="13" spans="1:8" s="334" customFormat="1" ht="15.75">
      <c r="A13" s="335"/>
      <c r="B13" s="337"/>
      <c r="C13" s="341">
        <v>4110</v>
      </c>
      <c r="D13" s="342" t="s">
        <v>7</v>
      </c>
      <c r="E13" s="448">
        <v>60977</v>
      </c>
      <c r="F13" s="343">
        <v>50477</v>
      </c>
      <c r="G13" s="343">
        <v>47401.99</v>
      </c>
      <c r="H13" s="343">
        <f t="shared" si="1"/>
        <v>93.9080967569388</v>
      </c>
    </row>
    <row r="14" spans="1:8" s="334" customFormat="1" ht="15.75">
      <c r="A14" s="335"/>
      <c r="B14" s="337"/>
      <c r="C14" s="341">
        <v>4120</v>
      </c>
      <c r="D14" s="342" t="s">
        <v>1</v>
      </c>
      <c r="E14" s="448">
        <v>8633</v>
      </c>
      <c r="F14" s="343">
        <v>8633</v>
      </c>
      <c r="G14" s="343">
        <v>6620.37</v>
      </c>
      <c r="H14" s="343">
        <f t="shared" si="1"/>
        <v>76.68678327348546</v>
      </c>
    </row>
    <row r="15" spans="1:8" s="334" customFormat="1" ht="16.5" thickBot="1">
      <c r="A15" s="335"/>
      <c r="B15" s="344"/>
      <c r="C15" s="345">
        <v>4440</v>
      </c>
      <c r="D15" s="346" t="s">
        <v>8</v>
      </c>
      <c r="E15" s="449">
        <v>23039</v>
      </c>
      <c r="F15" s="347">
        <v>17567</v>
      </c>
      <c r="G15" s="347">
        <v>17567</v>
      </c>
      <c r="H15" s="347">
        <f t="shared" si="1"/>
        <v>100</v>
      </c>
    </row>
    <row r="16" spans="1:8" s="348" customFormat="1" ht="13.5" thickBot="1">
      <c r="A16" s="335"/>
      <c r="B16" s="330">
        <v>80120</v>
      </c>
      <c r="C16" s="330" t="s">
        <v>4</v>
      </c>
      <c r="D16" s="336" t="s">
        <v>153</v>
      </c>
      <c r="E16" s="446">
        <f>SUM(E17:E37)</f>
        <v>1482184</v>
      </c>
      <c r="F16" s="311">
        <f>SUM(F17:F37)</f>
        <v>1580878</v>
      </c>
      <c r="G16" s="311">
        <f>SUM(G17:G37)</f>
        <v>1576503.93</v>
      </c>
      <c r="H16" s="311">
        <f t="shared" si="0"/>
        <v>99.72331388000845</v>
      </c>
    </row>
    <row r="17" spans="1:8" ht="12.75">
      <c r="A17" s="337"/>
      <c r="B17" s="337"/>
      <c r="C17" s="338">
        <v>3020</v>
      </c>
      <c r="D17" s="339" t="s">
        <v>101</v>
      </c>
      <c r="E17" s="447">
        <v>1987</v>
      </c>
      <c r="F17" s="340">
        <v>17869</v>
      </c>
      <c r="G17" s="340">
        <v>17427</v>
      </c>
      <c r="H17" s="340">
        <f t="shared" si="0"/>
        <v>97.52644244221837</v>
      </c>
    </row>
    <row r="18" spans="1:8" ht="12.75">
      <c r="A18" s="337"/>
      <c r="B18" s="337"/>
      <c r="C18" s="341">
        <v>4010</v>
      </c>
      <c r="D18" s="342" t="s">
        <v>0</v>
      </c>
      <c r="E18" s="448">
        <v>942906</v>
      </c>
      <c r="F18" s="343">
        <v>983433</v>
      </c>
      <c r="G18" s="343">
        <v>982236.83</v>
      </c>
      <c r="H18" s="343">
        <f t="shared" si="0"/>
        <v>99.87836792135305</v>
      </c>
    </row>
    <row r="19" spans="1:8" ht="12.75">
      <c r="A19" s="337"/>
      <c r="B19" s="337"/>
      <c r="C19" s="341">
        <v>4040</v>
      </c>
      <c r="D19" s="342" t="s">
        <v>5</v>
      </c>
      <c r="E19" s="448">
        <v>75557</v>
      </c>
      <c r="F19" s="343">
        <v>75557</v>
      </c>
      <c r="G19" s="343">
        <v>75124.62</v>
      </c>
      <c r="H19" s="343">
        <f t="shared" si="0"/>
        <v>99.42774329314292</v>
      </c>
    </row>
    <row r="20" spans="1:8" ht="12.75">
      <c r="A20" s="337"/>
      <c r="B20" s="337"/>
      <c r="C20" s="341">
        <v>4110</v>
      </c>
      <c r="D20" s="342" t="s">
        <v>7</v>
      </c>
      <c r="E20" s="448">
        <v>165592</v>
      </c>
      <c r="F20" s="343">
        <v>183092</v>
      </c>
      <c r="G20" s="343">
        <v>182356.12</v>
      </c>
      <c r="H20" s="343">
        <f t="shared" si="0"/>
        <v>99.59808183863849</v>
      </c>
    </row>
    <row r="21" spans="1:8" ht="12.75">
      <c r="A21" s="337"/>
      <c r="B21" s="337"/>
      <c r="C21" s="341">
        <v>4120</v>
      </c>
      <c r="D21" s="342" t="s">
        <v>1</v>
      </c>
      <c r="E21" s="448">
        <v>23027</v>
      </c>
      <c r="F21" s="343">
        <v>24827</v>
      </c>
      <c r="G21" s="343">
        <v>24516.22</v>
      </c>
      <c r="H21" s="343">
        <f t="shared" si="0"/>
        <v>98.74821766625045</v>
      </c>
    </row>
    <row r="22" spans="1:8" ht="12.75">
      <c r="A22" s="337"/>
      <c r="B22" s="337"/>
      <c r="C22" s="375">
        <v>4170</v>
      </c>
      <c r="D22" s="349" t="s">
        <v>102</v>
      </c>
      <c r="E22" s="448">
        <v>8400</v>
      </c>
      <c r="F22" s="343">
        <v>5600</v>
      </c>
      <c r="G22" s="376">
        <v>5502.43</v>
      </c>
      <c r="H22" s="343">
        <f t="shared" si="0"/>
        <v>98.25767857142857</v>
      </c>
    </row>
    <row r="23" spans="1:8" ht="12.75">
      <c r="A23" s="337"/>
      <c r="B23" s="337"/>
      <c r="C23" s="341">
        <v>4210</v>
      </c>
      <c r="D23" s="342" t="s">
        <v>44</v>
      </c>
      <c r="E23" s="448">
        <v>21350</v>
      </c>
      <c r="F23" s="343">
        <v>45334</v>
      </c>
      <c r="G23" s="343">
        <v>45294.65</v>
      </c>
      <c r="H23" s="343">
        <f t="shared" si="0"/>
        <v>99.91319980588521</v>
      </c>
    </row>
    <row r="24" spans="1:8" ht="12.75">
      <c r="A24" s="337"/>
      <c r="B24" s="337"/>
      <c r="C24" s="341">
        <v>4240</v>
      </c>
      <c r="D24" s="342" t="s">
        <v>53</v>
      </c>
      <c r="E24" s="448">
        <v>4600</v>
      </c>
      <c r="F24" s="343">
        <v>4600</v>
      </c>
      <c r="G24" s="343">
        <v>4489.41</v>
      </c>
      <c r="H24" s="343">
        <f t="shared" si="0"/>
        <v>97.59586956521738</v>
      </c>
    </row>
    <row r="25" spans="1:8" ht="12.75">
      <c r="A25" s="337"/>
      <c r="B25" s="337"/>
      <c r="C25" s="341">
        <v>4260</v>
      </c>
      <c r="D25" s="342" t="s">
        <v>45</v>
      </c>
      <c r="E25" s="448">
        <v>113000</v>
      </c>
      <c r="F25" s="343">
        <v>113000</v>
      </c>
      <c r="G25" s="343">
        <v>112839.13</v>
      </c>
      <c r="H25" s="343">
        <f t="shared" si="0"/>
        <v>99.8576371681416</v>
      </c>
    </row>
    <row r="26" spans="1:8" ht="12.75">
      <c r="A26" s="337"/>
      <c r="B26" s="337"/>
      <c r="C26" s="341">
        <v>4270</v>
      </c>
      <c r="D26" s="342" t="s">
        <v>46</v>
      </c>
      <c r="E26" s="448">
        <v>35055</v>
      </c>
      <c r="F26" s="343">
        <v>25055</v>
      </c>
      <c r="G26" s="343">
        <v>25051.03</v>
      </c>
      <c r="H26" s="343">
        <f t="shared" si="0"/>
        <v>99.98415485930951</v>
      </c>
    </row>
    <row r="27" spans="1:8" ht="12.75">
      <c r="A27" s="337"/>
      <c r="B27" s="337"/>
      <c r="C27" s="341">
        <v>4280</v>
      </c>
      <c r="D27" s="342" t="s">
        <v>75</v>
      </c>
      <c r="E27" s="448">
        <v>2150</v>
      </c>
      <c r="F27" s="343">
        <v>410</v>
      </c>
      <c r="G27" s="343">
        <v>409</v>
      </c>
      <c r="H27" s="343">
        <f t="shared" si="0"/>
        <v>99.7560975609756</v>
      </c>
    </row>
    <row r="28" spans="1:8" ht="12.75">
      <c r="A28" s="337"/>
      <c r="B28" s="337"/>
      <c r="C28" s="341">
        <v>4300</v>
      </c>
      <c r="D28" s="342" t="s">
        <v>43</v>
      </c>
      <c r="E28" s="448">
        <v>20350</v>
      </c>
      <c r="F28" s="343">
        <v>23166</v>
      </c>
      <c r="G28" s="343">
        <v>23064.03</v>
      </c>
      <c r="H28" s="343">
        <f t="shared" si="0"/>
        <v>99.55982905982906</v>
      </c>
    </row>
    <row r="29" spans="1:8" ht="12.75" hidden="1">
      <c r="A29" s="337"/>
      <c r="B29" s="337"/>
      <c r="C29" s="341">
        <v>4350</v>
      </c>
      <c r="D29" s="349" t="s">
        <v>110</v>
      </c>
      <c r="E29" s="448">
        <v>1220</v>
      </c>
      <c r="F29" s="343"/>
      <c r="G29" s="343"/>
      <c r="H29" s="343" t="e">
        <f t="shared" si="0"/>
        <v>#DIV/0!</v>
      </c>
    </row>
    <row r="30" spans="1:8" ht="12.75">
      <c r="A30" s="337"/>
      <c r="B30" s="337"/>
      <c r="C30" s="345">
        <v>4360</v>
      </c>
      <c r="D30" s="623" t="s">
        <v>612</v>
      </c>
      <c r="E30" s="449"/>
      <c r="F30" s="347">
        <v>3810</v>
      </c>
      <c r="G30" s="347">
        <v>3602.84</v>
      </c>
      <c r="H30" s="343">
        <f t="shared" si="0"/>
        <v>94.56272965879265</v>
      </c>
    </row>
    <row r="31" spans="1:8" ht="38.25" hidden="1">
      <c r="A31" s="337"/>
      <c r="B31" s="337"/>
      <c r="C31" s="345">
        <v>4370</v>
      </c>
      <c r="D31" s="350" t="s">
        <v>598</v>
      </c>
      <c r="E31" s="449">
        <v>3040</v>
      </c>
      <c r="F31" s="347"/>
      <c r="G31" s="347"/>
      <c r="H31" s="347" t="e">
        <f t="shared" si="0"/>
        <v>#DIV/0!</v>
      </c>
    </row>
    <row r="32" spans="1:8" ht="12.75">
      <c r="A32" s="337"/>
      <c r="B32" s="337"/>
      <c r="C32" s="341">
        <v>4410</v>
      </c>
      <c r="D32" s="342" t="s">
        <v>6</v>
      </c>
      <c r="E32" s="448">
        <v>4000</v>
      </c>
      <c r="F32" s="343">
        <v>4000</v>
      </c>
      <c r="G32" s="343">
        <v>3976.62</v>
      </c>
      <c r="H32" s="343">
        <f t="shared" si="0"/>
        <v>99.4155</v>
      </c>
    </row>
    <row r="33" spans="1:8" ht="12.75">
      <c r="A33" s="337"/>
      <c r="B33" s="337"/>
      <c r="C33" s="345">
        <v>4430</v>
      </c>
      <c r="D33" s="346" t="s">
        <v>3</v>
      </c>
      <c r="E33" s="449">
        <v>6200</v>
      </c>
      <c r="F33" s="347">
        <v>6200</v>
      </c>
      <c r="G33" s="347">
        <v>6198</v>
      </c>
      <c r="H33" s="343">
        <f t="shared" si="0"/>
        <v>99.96774193548387</v>
      </c>
    </row>
    <row r="34" spans="1:8" ht="12.75">
      <c r="A34" s="337"/>
      <c r="B34" s="337"/>
      <c r="C34" s="345">
        <v>4440</v>
      </c>
      <c r="D34" s="346" t="s">
        <v>8</v>
      </c>
      <c r="E34" s="449">
        <v>51950</v>
      </c>
      <c r="F34" s="347">
        <v>57941</v>
      </c>
      <c r="G34" s="347">
        <v>57941</v>
      </c>
      <c r="H34" s="347">
        <f t="shared" si="0"/>
        <v>100</v>
      </c>
    </row>
    <row r="35" spans="1:8" ht="25.5">
      <c r="A35" s="337"/>
      <c r="B35" s="337"/>
      <c r="C35" s="345">
        <v>4520</v>
      </c>
      <c r="D35" s="346" t="s">
        <v>625</v>
      </c>
      <c r="E35" s="449"/>
      <c r="F35" s="347">
        <v>5184</v>
      </c>
      <c r="G35" s="347">
        <v>5175</v>
      </c>
      <c r="H35" s="347">
        <f t="shared" si="0"/>
        <v>99.82638888888889</v>
      </c>
    </row>
    <row r="36" spans="1:8" ht="12.75">
      <c r="A36" s="337"/>
      <c r="B36" s="337"/>
      <c r="C36" s="345">
        <v>4530</v>
      </c>
      <c r="D36" s="346" t="s">
        <v>106</v>
      </c>
      <c r="E36" s="449">
        <v>500</v>
      </c>
      <c r="F36" s="347">
        <v>500</v>
      </c>
      <c r="G36" s="347">
        <v>0</v>
      </c>
      <c r="H36" s="347">
        <f t="shared" si="0"/>
        <v>0</v>
      </c>
    </row>
    <row r="37" spans="1:8" ht="26.25" thickBot="1">
      <c r="A37" s="337"/>
      <c r="B37" s="337"/>
      <c r="C37" s="345">
        <v>4700</v>
      </c>
      <c r="D37" s="352" t="s">
        <v>406</v>
      </c>
      <c r="E37" s="449">
        <v>1300</v>
      </c>
      <c r="F37" s="347">
        <v>1300</v>
      </c>
      <c r="G37" s="347">
        <v>1300</v>
      </c>
      <c r="H37" s="347">
        <f t="shared" si="0"/>
        <v>100</v>
      </c>
    </row>
    <row r="38" spans="1:8" s="348" customFormat="1" ht="13.5" thickBot="1">
      <c r="A38" s="335"/>
      <c r="B38" s="330">
        <v>80146</v>
      </c>
      <c r="C38" s="330"/>
      <c r="D38" s="336" t="s">
        <v>107</v>
      </c>
      <c r="E38" s="446">
        <f>SUM(E39:E41)</f>
        <v>0</v>
      </c>
      <c r="F38" s="311">
        <f>SUM(F39:F41)</f>
        <v>10561</v>
      </c>
      <c r="G38" s="311">
        <f>SUM(G39:G41)</f>
        <v>5160.97</v>
      </c>
      <c r="H38" s="311">
        <f t="shared" si="0"/>
        <v>48.86819429978222</v>
      </c>
    </row>
    <row r="39" spans="1:8" s="348" customFormat="1" ht="12.75">
      <c r="A39" s="335"/>
      <c r="B39" s="335"/>
      <c r="C39" s="345">
        <v>4210</v>
      </c>
      <c r="D39" s="346" t="s">
        <v>44</v>
      </c>
      <c r="E39" s="449"/>
      <c r="F39" s="347">
        <v>400</v>
      </c>
      <c r="G39" s="347">
        <v>0</v>
      </c>
      <c r="H39" s="347">
        <f>G39/F39*100</f>
        <v>0</v>
      </c>
    </row>
    <row r="40" spans="1:8" s="348" customFormat="1" ht="12.75">
      <c r="A40" s="335"/>
      <c r="B40" s="335"/>
      <c r="C40" s="341">
        <v>4410</v>
      </c>
      <c r="D40" s="342" t="s">
        <v>6</v>
      </c>
      <c r="E40" s="448"/>
      <c r="F40" s="343">
        <v>2661</v>
      </c>
      <c r="G40" s="343">
        <v>2281.32</v>
      </c>
      <c r="H40" s="343">
        <f>G40/F40*100</f>
        <v>85.73167981961669</v>
      </c>
    </row>
    <row r="41" spans="1:8" s="348" customFormat="1" ht="26.25" thickBot="1">
      <c r="A41" s="335"/>
      <c r="B41" s="335"/>
      <c r="C41" s="345">
        <v>4700</v>
      </c>
      <c r="D41" s="352" t="s">
        <v>599</v>
      </c>
      <c r="E41" s="449"/>
      <c r="F41" s="347">
        <v>7500</v>
      </c>
      <c r="G41" s="347">
        <v>2879.65</v>
      </c>
      <c r="H41" s="347">
        <f t="shared" si="0"/>
        <v>38.39533333333334</v>
      </c>
    </row>
    <row r="42" spans="1:8" s="348" customFormat="1" ht="13.5" thickBot="1">
      <c r="A42" s="335"/>
      <c r="B42" s="330">
        <v>80195</v>
      </c>
      <c r="C42" s="356"/>
      <c r="D42" s="357" t="s">
        <v>2</v>
      </c>
      <c r="E42" s="446">
        <f>SUM(E43:E44)</f>
        <v>0</v>
      </c>
      <c r="F42" s="311">
        <f>SUM(F43:F44)</f>
        <v>22824</v>
      </c>
      <c r="G42" s="311">
        <f>SUM(G43:G44)</f>
        <v>22824</v>
      </c>
      <c r="H42" s="311">
        <f t="shared" si="0"/>
        <v>100</v>
      </c>
    </row>
    <row r="43" spans="1:8" s="348" customFormat="1" ht="12.75" hidden="1">
      <c r="A43" s="335"/>
      <c r="B43" s="335"/>
      <c r="C43" s="341">
        <v>4210</v>
      </c>
      <c r="D43" s="342" t="s">
        <v>44</v>
      </c>
      <c r="E43" s="448"/>
      <c r="F43" s="343"/>
      <c r="G43" s="343"/>
      <c r="H43" s="343" t="e">
        <f>G43/F43*100</f>
        <v>#DIV/0!</v>
      </c>
    </row>
    <row r="44" spans="1:8" s="348" customFormat="1" ht="13.5" thickBot="1">
      <c r="A44" s="335"/>
      <c r="B44" s="335"/>
      <c r="C44" s="337">
        <v>4440</v>
      </c>
      <c r="D44" s="313" t="s">
        <v>8</v>
      </c>
      <c r="E44" s="450"/>
      <c r="F44" s="358">
        <v>22824</v>
      </c>
      <c r="G44" s="358">
        <v>22824</v>
      </c>
      <c r="H44" s="358">
        <f t="shared" si="0"/>
        <v>100</v>
      </c>
    </row>
    <row r="45" spans="1:8" ht="13.5" thickBot="1">
      <c r="A45" s="359">
        <v>854</v>
      </c>
      <c r="B45" s="360">
        <v>85415</v>
      </c>
      <c r="C45" s="330"/>
      <c r="D45" s="357" t="s">
        <v>105</v>
      </c>
      <c r="E45" s="446">
        <f>SUM(E46:E46)</f>
        <v>0</v>
      </c>
      <c r="F45" s="311">
        <f>SUM(F46:F46)</f>
        <v>25700</v>
      </c>
      <c r="G45" s="311">
        <f>SUM(G46:G46)</f>
        <v>25600</v>
      </c>
      <c r="H45" s="311">
        <f t="shared" si="0"/>
        <v>99.61089494163424</v>
      </c>
    </row>
    <row r="46" spans="1:8" ht="13.5" thickBot="1">
      <c r="A46" s="306"/>
      <c r="B46" s="361"/>
      <c r="C46" s="356">
        <v>3240</v>
      </c>
      <c r="D46" s="314" t="s">
        <v>155</v>
      </c>
      <c r="E46" s="451"/>
      <c r="F46" s="362">
        <v>25700</v>
      </c>
      <c r="G46" s="363">
        <v>25600</v>
      </c>
      <c r="H46" s="355">
        <f t="shared" si="0"/>
        <v>99.61089494163424</v>
      </c>
    </row>
    <row r="47" spans="1:8" ht="12.75">
      <c r="A47" s="327"/>
      <c r="B47" s="364"/>
      <c r="C47" s="327"/>
      <c r="D47" s="326"/>
      <c r="E47" s="452"/>
      <c r="F47" s="351"/>
      <c r="G47" s="351"/>
      <c r="H47" s="351"/>
    </row>
    <row r="48" spans="1:8" ht="13.5" thickBot="1">
      <c r="A48" s="327"/>
      <c r="B48" s="364"/>
      <c r="C48" s="327"/>
      <c r="D48" s="326"/>
      <c r="E48" s="452"/>
      <c r="F48" s="351"/>
      <c r="G48" s="351"/>
      <c r="H48" s="351"/>
    </row>
    <row r="49" spans="1:8" s="366" customFormat="1" ht="19.5" thickBot="1">
      <c r="A49" s="831" t="s">
        <v>156</v>
      </c>
      <c r="B49" s="832"/>
      <c r="C49" s="832"/>
      <c r="D49" s="832"/>
      <c r="E49" s="832"/>
      <c r="F49" s="832"/>
      <c r="G49" s="833"/>
      <c r="H49" s="365"/>
    </row>
    <row r="50" spans="1:8" s="348" customFormat="1" ht="16.5" thickBot="1">
      <c r="A50" s="367"/>
      <c r="B50" s="368"/>
      <c r="C50" s="368"/>
      <c r="D50" s="369" t="s">
        <v>10</v>
      </c>
      <c r="E50" s="453">
        <f>E51+E87+E89+E72</f>
        <v>2123713</v>
      </c>
      <c r="F50" s="370">
        <f>F51+F87+F89+F72+F76</f>
        <v>2217919</v>
      </c>
      <c r="G50" s="370">
        <f>G51+G87+G89+G72+G76</f>
        <v>2207915.5700000003</v>
      </c>
      <c r="H50" s="371">
        <f aca="true" t="shared" si="2" ref="H50:H90">G50/F50*100</f>
        <v>99.54897225732772</v>
      </c>
    </row>
    <row r="51" spans="1:8" s="348" customFormat="1" ht="13.5" thickBot="1">
      <c r="A51" s="359">
        <v>801</v>
      </c>
      <c r="B51" s="330">
        <v>80120</v>
      </c>
      <c r="C51" s="368"/>
      <c r="D51" s="357" t="s">
        <v>153</v>
      </c>
      <c r="E51" s="446">
        <f>SUM(E52:E71)</f>
        <v>2123713</v>
      </c>
      <c r="F51" s="311">
        <f>SUM(F52:F71)</f>
        <v>2049942</v>
      </c>
      <c r="G51" s="311">
        <f>SUM(G52:G71)</f>
        <v>2046079.1800000002</v>
      </c>
      <c r="H51" s="311">
        <f t="shared" si="2"/>
        <v>99.81156442474959</v>
      </c>
    </row>
    <row r="52" spans="1:8" ht="12.75">
      <c r="A52" s="372"/>
      <c r="B52" s="337"/>
      <c r="C52" s="373">
        <v>3020</v>
      </c>
      <c r="D52" s="374" t="s">
        <v>101</v>
      </c>
      <c r="E52" s="447">
        <v>2927</v>
      </c>
      <c r="F52" s="340">
        <v>2927</v>
      </c>
      <c r="G52" s="353">
        <v>2841.02</v>
      </c>
      <c r="H52" s="340">
        <f t="shared" si="2"/>
        <v>97.06252135292108</v>
      </c>
    </row>
    <row r="53" spans="1:8" ht="12.75">
      <c r="A53" s="372"/>
      <c r="B53" s="337"/>
      <c r="C53" s="375">
        <v>4010</v>
      </c>
      <c r="D53" s="349" t="s">
        <v>0</v>
      </c>
      <c r="E53" s="448">
        <v>1396835</v>
      </c>
      <c r="F53" s="343">
        <v>1339779</v>
      </c>
      <c r="G53" s="376">
        <v>1339779</v>
      </c>
      <c r="H53" s="343">
        <f t="shared" si="2"/>
        <v>100</v>
      </c>
    </row>
    <row r="54" spans="1:8" ht="12.75">
      <c r="A54" s="372"/>
      <c r="B54" s="337"/>
      <c r="C54" s="375">
        <v>4040</v>
      </c>
      <c r="D54" s="349" t="s">
        <v>5</v>
      </c>
      <c r="E54" s="448">
        <v>122810</v>
      </c>
      <c r="F54" s="343">
        <v>115907</v>
      </c>
      <c r="G54" s="376">
        <v>115907</v>
      </c>
      <c r="H54" s="343">
        <f t="shared" si="2"/>
        <v>100</v>
      </c>
    </row>
    <row r="55" spans="1:8" ht="12.75">
      <c r="A55" s="372"/>
      <c r="B55" s="337"/>
      <c r="C55" s="375">
        <v>4110</v>
      </c>
      <c r="D55" s="349" t="s">
        <v>7</v>
      </c>
      <c r="E55" s="448">
        <v>260940</v>
      </c>
      <c r="F55" s="343">
        <v>238943</v>
      </c>
      <c r="G55" s="376">
        <v>238943</v>
      </c>
      <c r="H55" s="343">
        <f t="shared" si="2"/>
        <v>100</v>
      </c>
    </row>
    <row r="56" spans="1:8" ht="12.75">
      <c r="A56" s="372"/>
      <c r="B56" s="337"/>
      <c r="C56" s="375">
        <v>4120</v>
      </c>
      <c r="D56" s="349" t="s">
        <v>1</v>
      </c>
      <c r="E56" s="448">
        <v>37427</v>
      </c>
      <c r="F56" s="343">
        <v>33563</v>
      </c>
      <c r="G56" s="376">
        <v>33563</v>
      </c>
      <c r="H56" s="343">
        <f t="shared" si="2"/>
        <v>100</v>
      </c>
    </row>
    <row r="57" spans="1:8" ht="12.75" hidden="1">
      <c r="A57" s="372"/>
      <c r="B57" s="337"/>
      <c r="C57" s="375">
        <v>4140</v>
      </c>
      <c r="D57" s="349" t="s">
        <v>551</v>
      </c>
      <c r="E57" s="448">
        <v>5440</v>
      </c>
      <c r="F57" s="343">
        <v>0</v>
      </c>
      <c r="G57" s="376"/>
      <c r="H57" s="343" t="e">
        <f>G57/F57*100</f>
        <v>#DIV/0!</v>
      </c>
    </row>
    <row r="58" spans="1:8" ht="12.75">
      <c r="A58" s="372"/>
      <c r="B58" s="337"/>
      <c r="C58" s="375">
        <v>4170</v>
      </c>
      <c r="D58" s="349" t="s">
        <v>102</v>
      </c>
      <c r="E58" s="448">
        <v>1560</v>
      </c>
      <c r="F58" s="343">
        <v>1560</v>
      </c>
      <c r="G58" s="376">
        <v>1560</v>
      </c>
      <c r="H58" s="343">
        <f>G58/F58*100</f>
        <v>100</v>
      </c>
    </row>
    <row r="59" spans="1:8" ht="12.75">
      <c r="A59" s="372"/>
      <c r="B59" s="337"/>
      <c r="C59" s="375">
        <v>4210</v>
      </c>
      <c r="D59" s="377" t="s">
        <v>44</v>
      </c>
      <c r="E59" s="448">
        <v>25707</v>
      </c>
      <c r="F59" s="343">
        <v>50185</v>
      </c>
      <c r="G59" s="376">
        <v>50175.63</v>
      </c>
      <c r="H59" s="343">
        <f t="shared" si="2"/>
        <v>99.98132908239513</v>
      </c>
    </row>
    <row r="60" spans="1:8" ht="12.75">
      <c r="A60" s="372"/>
      <c r="B60" s="337"/>
      <c r="C60" s="375">
        <v>4240</v>
      </c>
      <c r="D60" s="349" t="s">
        <v>53</v>
      </c>
      <c r="E60" s="448">
        <v>6812</v>
      </c>
      <c r="F60" s="343">
        <v>7773</v>
      </c>
      <c r="G60" s="376">
        <v>7766.35</v>
      </c>
      <c r="H60" s="343">
        <f t="shared" si="2"/>
        <v>99.91444744628843</v>
      </c>
    </row>
    <row r="61" spans="1:8" ht="12.75">
      <c r="A61" s="372"/>
      <c r="B61" s="337"/>
      <c r="C61" s="375">
        <v>4260</v>
      </c>
      <c r="D61" s="349" t="s">
        <v>45</v>
      </c>
      <c r="E61" s="448">
        <v>127278</v>
      </c>
      <c r="F61" s="343">
        <v>128939</v>
      </c>
      <c r="G61" s="376">
        <v>128939</v>
      </c>
      <c r="H61" s="343">
        <f t="shared" si="2"/>
        <v>100</v>
      </c>
    </row>
    <row r="62" spans="1:8" ht="12.75">
      <c r="A62" s="372"/>
      <c r="B62" s="337"/>
      <c r="C62" s="341">
        <v>4270</v>
      </c>
      <c r="D62" s="342" t="s">
        <v>46</v>
      </c>
      <c r="E62" s="448">
        <v>5046</v>
      </c>
      <c r="F62" s="343">
        <v>4795</v>
      </c>
      <c r="G62" s="376">
        <v>4787.62</v>
      </c>
      <c r="H62" s="343">
        <f t="shared" si="2"/>
        <v>99.8460896767466</v>
      </c>
    </row>
    <row r="63" spans="1:8" ht="12.75">
      <c r="A63" s="372"/>
      <c r="B63" s="337"/>
      <c r="C63" s="341">
        <v>4280</v>
      </c>
      <c r="D63" s="378" t="s">
        <v>75</v>
      </c>
      <c r="E63" s="448">
        <v>2475</v>
      </c>
      <c r="F63" s="343">
        <v>2475</v>
      </c>
      <c r="G63" s="376">
        <v>1960</v>
      </c>
      <c r="H63" s="343">
        <f t="shared" si="2"/>
        <v>79.1919191919192</v>
      </c>
    </row>
    <row r="64" spans="1:8" ht="12.75">
      <c r="A64" s="372"/>
      <c r="B64" s="337"/>
      <c r="C64" s="375">
        <v>4300</v>
      </c>
      <c r="D64" s="349" t="s">
        <v>43</v>
      </c>
      <c r="E64" s="448">
        <v>32001</v>
      </c>
      <c r="F64" s="343">
        <v>30407</v>
      </c>
      <c r="G64" s="376">
        <v>28718.73</v>
      </c>
      <c r="H64" s="343">
        <f t="shared" si="2"/>
        <v>94.44775873976387</v>
      </c>
    </row>
    <row r="65" spans="1:8" ht="12.75" hidden="1">
      <c r="A65" s="372"/>
      <c r="B65" s="337"/>
      <c r="C65" s="375">
        <v>4350</v>
      </c>
      <c r="D65" s="349" t="s">
        <v>110</v>
      </c>
      <c r="E65" s="448">
        <v>2536</v>
      </c>
      <c r="F65" s="343"/>
      <c r="G65" s="376"/>
      <c r="H65" s="343" t="e">
        <f t="shared" si="2"/>
        <v>#DIV/0!</v>
      </c>
    </row>
    <row r="66" spans="1:8" ht="12.75">
      <c r="A66" s="372"/>
      <c r="B66" s="337"/>
      <c r="C66" s="337">
        <v>4360</v>
      </c>
      <c r="D66" s="623" t="s">
        <v>612</v>
      </c>
      <c r="E66" s="449">
        <v>1845</v>
      </c>
      <c r="F66" s="347">
        <v>7562</v>
      </c>
      <c r="G66" s="352">
        <v>6920.31</v>
      </c>
      <c r="H66" s="347">
        <f t="shared" si="2"/>
        <v>91.51428193599578</v>
      </c>
    </row>
    <row r="67" spans="1:8" ht="38.25" hidden="1">
      <c r="A67" s="372"/>
      <c r="B67" s="337"/>
      <c r="C67" s="345">
        <v>4370</v>
      </c>
      <c r="D67" s="350" t="s">
        <v>598</v>
      </c>
      <c r="E67" s="449">
        <v>3181</v>
      </c>
      <c r="F67" s="347"/>
      <c r="G67" s="352"/>
      <c r="H67" s="347" t="e">
        <f t="shared" si="2"/>
        <v>#DIV/0!</v>
      </c>
    </row>
    <row r="68" spans="1:8" ht="12.75">
      <c r="A68" s="372"/>
      <c r="B68" s="337"/>
      <c r="C68" s="375">
        <v>4410</v>
      </c>
      <c r="D68" s="349" t="s">
        <v>6</v>
      </c>
      <c r="E68" s="448">
        <v>3570</v>
      </c>
      <c r="F68" s="343">
        <v>3907</v>
      </c>
      <c r="G68" s="376">
        <v>3669.32</v>
      </c>
      <c r="H68" s="343">
        <f t="shared" si="2"/>
        <v>93.91656002047607</v>
      </c>
    </row>
    <row r="69" spans="1:8" ht="12.75">
      <c r="A69" s="372"/>
      <c r="B69" s="337"/>
      <c r="C69" s="375">
        <v>4430</v>
      </c>
      <c r="D69" s="349" t="s">
        <v>3</v>
      </c>
      <c r="E69" s="448">
        <v>2588</v>
      </c>
      <c r="F69" s="343">
        <v>2546</v>
      </c>
      <c r="G69" s="376">
        <v>2545.2</v>
      </c>
      <c r="H69" s="343">
        <f t="shared" si="2"/>
        <v>99.96857816182246</v>
      </c>
    </row>
    <row r="70" spans="1:8" ht="12.75">
      <c r="A70" s="372"/>
      <c r="B70" s="337"/>
      <c r="C70" s="375">
        <v>4440</v>
      </c>
      <c r="D70" s="349" t="s">
        <v>8</v>
      </c>
      <c r="E70" s="448">
        <v>81535</v>
      </c>
      <c r="F70" s="343">
        <v>77474</v>
      </c>
      <c r="G70" s="376">
        <v>77474</v>
      </c>
      <c r="H70" s="343">
        <f t="shared" si="2"/>
        <v>100</v>
      </c>
    </row>
    <row r="71" spans="1:8" ht="26.25" thickBot="1">
      <c r="A71" s="372"/>
      <c r="B71" s="337"/>
      <c r="C71" s="345">
        <v>4700</v>
      </c>
      <c r="D71" s="352" t="s">
        <v>406</v>
      </c>
      <c r="E71" s="449">
        <v>1200</v>
      </c>
      <c r="F71" s="347">
        <v>1200</v>
      </c>
      <c r="G71" s="352">
        <v>530</v>
      </c>
      <c r="H71" s="347">
        <f t="shared" si="2"/>
        <v>44.166666666666664</v>
      </c>
    </row>
    <row r="72" spans="1:8" s="348" customFormat="1" ht="13.5" thickBot="1">
      <c r="A72" s="367"/>
      <c r="B72" s="330">
        <v>80146</v>
      </c>
      <c r="C72" s="368"/>
      <c r="D72" s="357" t="s">
        <v>107</v>
      </c>
      <c r="E72" s="446">
        <f>SUM(E73:E75)</f>
        <v>0</v>
      </c>
      <c r="F72" s="311">
        <f>SUM(F73:F75)</f>
        <v>12093</v>
      </c>
      <c r="G72" s="379">
        <f>SUM(G73:G75)</f>
        <v>6352.39</v>
      </c>
      <c r="H72" s="362">
        <f t="shared" si="2"/>
        <v>52.529479864384356</v>
      </c>
    </row>
    <row r="73" spans="1:8" ht="12.75">
      <c r="A73" s="337"/>
      <c r="B73" s="337"/>
      <c r="C73" s="375">
        <v>4210</v>
      </c>
      <c r="D73" s="377" t="s">
        <v>44</v>
      </c>
      <c r="E73" s="450"/>
      <c r="F73" s="358">
        <v>2207</v>
      </c>
      <c r="G73" s="351">
        <v>1495.35</v>
      </c>
      <c r="H73" s="380">
        <f t="shared" si="2"/>
        <v>67.75487086542817</v>
      </c>
    </row>
    <row r="74" spans="1:8" ht="12.75">
      <c r="A74" s="337"/>
      <c r="B74" s="337"/>
      <c r="C74" s="480">
        <v>4300</v>
      </c>
      <c r="D74" s="623" t="s">
        <v>43</v>
      </c>
      <c r="E74" s="448"/>
      <c r="F74" s="343">
        <v>6886</v>
      </c>
      <c r="G74" s="376">
        <v>3700</v>
      </c>
      <c r="H74" s="343">
        <f t="shared" si="2"/>
        <v>53.73221028173105</v>
      </c>
    </row>
    <row r="75" spans="1:8" ht="13.5" thickBot="1">
      <c r="A75" s="337"/>
      <c r="B75" s="337"/>
      <c r="C75" s="480">
        <v>4410</v>
      </c>
      <c r="D75" s="408" t="s">
        <v>6</v>
      </c>
      <c r="E75" s="449"/>
      <c r="F75" s="347">
        <v>3000</v>
      </c>
      <c r="G75" s="352">
        <v>1157.04</v>
      </c>
      <c r="H75" s="347">
        <f t="shared" si="2"/>
        <v>38.568</v>
      </c>
    </row>
    <row r="76" spans="1:8" s="348" customFormat="1" ht="64.5" thickBot="1">
      <c r="A76" s="335"/>
      <c r="B76" s="330">
        <v>80150</v>
      </c>
      <c r="C76" s="368"/>
      <c r="D76" s="357" t="s">
        <v>611</v>
      </c>
      <c r="E76" s="446">
        <f>SUM(E77:E86)</f>
        <v>0</v>
      </c>
      <c r="F76" s="311">
        <f>SUM(F77:F86)</f>
        <v>98428</v>
      </c>
      <c r="G76" s="311">
        <f>SUM(G77:G86)</f>
        <v>98428</v>
      </c>
      <c r="H76" s="362">
        <f t="shared" si="2"/>
        <v>100</v>
      </c>
    </row>
    <row r="77" spans="1:8" ht="12.75">
      <c r="A77" s="337"/>
      <c r="B77" s="337"/>
      <c r="C77" s="375">
        <v>4010</v>
      </c>
      <c r="D77" s="349" t="s">
        <v>0</v>
      </c>
      <c r="E77" s="450">
        <v>0</v>
      </c>
      <c r="F77" s="358">
        <v>69573</v>
      </c>
      <c r="G77" s="351">
        <v>69573</v>
      </c>
      <c r="H77" s="380">
        <f t="shared" si="2"/>
        <v>100</v>
      </c>
    </row>
    <row r="78" spans="1:8" ht="12.75">
      <c r="A78" s="337"/>
      <c r="B78" s="337"/>
      <c r="C78" s="375">
        <v>4110</v>
      </c>
      <c r="D78" s="349" t="s">
        <v>7</v>
      </c>
      <c r="E78" s="448">
        <v>0</v>
      </c>
      <c r="F78" s="343">
        <v>12997</v>
      </c>
      <c r="G78" s="481">
        <v>12997</v>
      </c>
      <c r="H78" s="347">
        <f t="shared" si="2"/>
        <v>100</v>
      </c>
    </row>
    <row r="79" spans="1:8" ht="12.75">
      <c r="A79" s="337"/>
      <c r="B79" s="337"/>
      <c r="C79" s="375">
        <v>4120</v>
      </c>
      <c r="D79" s="349" t="s">
        <v>1</v>
      </c>
      <c r="E79" s="448">
        <v>0</v>
      </c>
      <c r="F79" s="343">
        <v>1864</v>
      </c>
      <c r="G79" s="481">
        <v>1864</v>
      </c>
      <c r="H79" s="347">
        <f t="shared" si="2"/>
        <v>100</v>
      </c>
    </row>
    <row r="80" spans="1:8" ht="12.75">
      <c r="A80" s="337"/>
      <c r="B80" s="337"/>
      <c r="C80" s="375">
        <v>4210</v>
      </c>
      <c r="D80" s="377" t="s">
        <v>44</v>
      </c>
      <c r="E80" s="448">
        <v>0</v>
      </c>
      <c r="F80" s="343">
        <v>1281</v>
      </c>
      <c r="G80" s="481">
        <v>1281</v>
      </c>
      <c r="H80" s="347">
        <f t="shared" si="2"/>
        <v>100</v>
      </c>
    </row>
    <row r="81" spans="1:8" ht="12.75">
      <c r="A81" s="337"/>
      <c r="B81" s="337"/>
      <c r="C81" s="375">
        <v>4240</v>
      </c>
      <c r="D81" s="349" t="s">
        <v>53</v>
      </c>
      <c r="E81" s="448">
        <v>0</v>
      </c>
      <c r="F81" s="343">
        <v>339</v>
      </c>
      <c r="G81" s="481">
        <v>339</v>
      </c>
      <c r="H81" s="347">
        <f t="shared" si="2"/>
        <v>100</v>
      </c>
    </row>
    <row r="82" spans="1:8" ht="12.75">
      <c r="A82" s="337"/>
      <c r="B82" s="337"/>
      <c r="C82" s="375">
        <v>4260</v>
      </c>
      <c r="D82" s="349" t="s">
        <v>45</v>
      </c>
      <c r="E82" s="448">
        <v>0</v>
      </c>
      <c r="F82" s="343">
        <v>6339</v>
      </c>
      <c r="G82" s="481">
        <v>6339</v>
      </c>
      <c r="H82" s="347">
        <f t="shared" si="2"/>
        <v>100</v>
      </c>
    </row>
    <row r="83" spans="1:8" ht="12.75">
      <c r="A83" s="337"/>
      <c r="B83" s="337"/>
      <c r="C83" s="341">
        <v>4270</v>
      </c>
      <c r="D83" s="342" t="s">
        <v>46</v>
      </c>
      <c r="E83" s="448">
        <v>0</v>
      </c>
      <c r="F83" s="343">
        <v>251</v>
      </c>
      <c r="G83" s="481">
        <v>251</v>
      </c>
      <c r="H83" s="347">
        <f t="shared" si="2"/>
        <v>100</v>
      </c>
    </row>
    <row r="84" spans="1:8" ht="12.75">
      <c r="A84" s="337"/>
      <c r="B84" s="337"/>
      <c r="C84" s="375">
        <v>4300</v>
      </c>
      <c r="D84" s="349" t="s">
        <v>43</v>
      </c>
      <c r="E84" s="448">
        <v>0</v>
      </c>
      <c r="F84" s="343">
        <v>1594</v>
      </c>
      <c r="G84" s="481">
        <v>1594</v>
      </c>
      <c r="H84" s="347">
        <f t="shared" si="2"/>
        <v>100</v>
      </c>
    </row>
    <row r="85" spans="1:8" ht="12.75">
      <c r="A85" s="337"/>
      <c r="B85" s="337"/>
      <c r="C85" s="375">
        <v>4430</v>
      </c>
      <c r="D85" s="349" t="s">
        <v>3</v>
      </c>
      <c r="E85" s="448">
        <v>0</v>
      </c>
      <c r="F85" s="343">
        <v>129</v>
      </c>
      <c r="G85" s="481">
        <v>129</v>
      </c>
      <c r="H85" s="347">
        <f t="shared" si="2"/>
        <v>100</v>
      </c>
    </row>
    <row r="86" spans="1:8" ht="13.5" thickBot="1">
      <c r="A86" s="337"/>
      <c r="B86" s="306"/>
      <c r="C86" s="375">
        <v>4440</v>
      </c>
      <c r="D86" s="349" t="s">
        <v>8</v>
      </c>
      <c r="E86" s="466">
        <v>0</v>
      </c>
      <c r="F86" s="355">
        <v>4061</v>
      </c>
      <c r="G86" s="363">
        <v>4061</v>
      </c>
      <c r="H86" s="347">
        <f t="shared" si="2"/>
        <v>100</v>
      </c>
    </row>
    <row r="87" spans="1:8" ht="13.5" thickBot="1">
      <c r="A87" s="337"/>
      <c r="B87" s="330">
        <v>80195</v>
      </c>
      <c r="C87" s="356"/>
      <c r="D87" s="357" t="s">
        <v>2</v>
      </c>
      <c r="E87" s="446">
        <f>SUM(E88:E88)</f>
        <v>0</v>
      </c>
      <c r="F87" s="311">
        <f>SUM(F88:F88)</f>
        <v>25556</v>
      </c>
      <c r="G87" s="311">
        <f>SUM(G88:G88)</f>
        <v>25556</v>
      </c>
      <c r="H87" s="311">
        <f t="shared" si="2"/>
        <v>100</v>
      </c>
    </row>
    <row r="88" spans="1:8" ht="13.5" thickBot="1">
      <c r="A88" s="337"/>
      <c r="B88" s="337"/>
      <c r="C88" s="327">
        <v>4440</v>
      </c>
      <c r="D88" s="313" t="s">
        <v>8</v>
      </c>
      <c r="E88" s="450"/>
      <c r="F88" s="358">
        <v>25556</v>
      </c>
      <c r="G88" s="351">
        <v>25556</v>
      </c>
      <c r="H88" s="355">
        <f t="shared" si="2"/>
        <v>100</v>
      </c>
    </row>
    <row r="89" spans="1:8" ht="13.5" thickBot="1">
      <c r="A89" s="359">
        <v>854</v>
      </c>
      <c r="B89" s="359">
        <v>85415</v>
      </c>
      <c r="C89" s="383"/>
      <c r="D89" s="384" t="s">
        <v>105</v>
      </c>
      <c r="E89" s="455">
        <f>SUM(E90:E90)</f>
        <v>0</v>
      </c>
      <c r="F89" s="312">
        <f>SUM(F90:F90)</f>
        <v>31900</v>
      </c>
      <c r="G89" s="312">
        <f>SUM(G90:G90)</f>
        <v>31500</v>
      </c>
      <c r="H89" s="355">
        <f t="shared" si="2"/>
        <v>98.7460815047022</v>
      </c>
    </row>
    <row r="90" spans="1:9" ht="13.5" thickBot="1">
      <c r="A90" s="337"/>
      <c r="B90" s="359"/>
      <c r="C90" s="385">
        <v>3240</v>
      </c>
      <c r="D90" s="386" t="s">
        <v>155</v>
      </c>
      <c r="E90" s="456"/>
      <c r="F90" s="387">
        <v>31900</v>
      </c>
      <c r="G90" s="388">
        <v>31500</v>
      </c>
      <c r="H90" s="358">
        <f t="shared" si="2"/>
        <v>98.7460815047022</v>
      </c>
      <c r="I90" s="389"/>
    </row>
    <row r="91" spans="1:8" ht="12.75">
      <c r="A91" s="390"/>
      <c r="B91" s="390"/>
      <c r="C91" s="390"/>
      <c r="D91" s="391"/>
      <c r="E91" s="457"/>
      <c r="F91" s="388"/>
      <c r="G91" s="388"/>
      <c r="H91" s="388"/>
    </row>
    <row r="92" spans="1:8" ht="13.5" thickBot="1">
      <c r="A92" s="327"/>
      <c r="B92" s="327"/>
      <c r="C92" s="327"/>
      <c r="D92" s="326"/>
      <c r="E92" s="452"/>
      <c r="F92" s="351"/>
      <c r="G92" s="351"/>
      <c r="H92" s="351"/>
    </row>
    <row r="93" spans="1:8" s="348" customFormat="1" ht="19.5" thickBot="1">
      <c r="A93" s="831" t="s">
        <v>157</v>
      </c>
      <c r="B93" s="832"/>
      <c r="C93" s="832"/>
      <c r="D93" s="832"/>
      <c r="E93" s="832"/>
      <c r="F93" s="832"/>
      <c r="G93" s="833"/>
      <c r="H93" s="392"/>
    </row>
    <row r="94" spans="1:8" ht="16.5" thickBot="1">
      <c r="A94" s="335"/>
      <c r="B94" s="337"/>
      <c r="C94" s="337"/>
      <c r="D94" s="369" t="s">
        <v>10</v>
      </c>
      <c r="E94" s="458">
        <f>E95+E102+E120+E156+E109+E115+E149+E154+E118</f>
        <v>3581171</v>
      </c>
      <c r="F94" s="393">
        <f>F95+F102+F120+F156+F109+F115+F149+F154+F118</f>
        <v>3657363</v>
      </c>
      <c r="G94" s="393">
        <f>G95+G102+G120+G156+G109+G115+G149+G154+G118</f>
        <v>3614213.8800000004</v>
      </c>
      <c r="H94" s="370">
        <f aca="true" t="shared" si="3" ref="H94:H114">G94/F94*100</f>
        <v>98.82021226769125</v>
      </c>
    </row>
    <row r="95" spans="1:8" s="348" customFormat="1" ht="13.5" thickBot="1">
      <c r="A95" s="359">
        <v>801</v>
      </c>
      <c r="B95" s="330">
        <v>80102</v>
      </c>
      <c r="C95" s="330"/>
      <c r="D95" s="336" t="s">
        <v>52</v>
      </c>
      <c r="E95" s="446">
        <f>SUM(E96:E101)</f>
        <v>1561126</v>
      </c>
      <c r="F95" s="311">
        <f>SUM(F96:F101)</f>
        <v>1625869</v>
      </c>
      <c r="G95" s="311">
        <f>SUM(G96:G101)</f>
        <v>1625267.06</v>
      </c>
      <c r="H95" s="311">
        <f t="shared" si="3"/>
        <v>99.96297733704253</v>
      </c>
    </row>
    <row r="96" spans="1:8" ht="12.75">
      <c r="A96" s="337"/>
      <c r="B96" s="337"/>
      <c r="C96" s="341">
        <v>4010</v>
      </c>
      <c r="D96" s="342" t="s">
        <v>0</v>
      </c>
      <c r="E96" s="448">
        <v>1139639</v>
      </c>
      <c r="F96" s="343">
        <v>1231639</v>
      </c>
      <c r="G96" s="343">
        <v>1231639</v>
      </c>
      <c r="H96" s="343">
        <f t="shared" si="3"/>
        <v>100</v>
      </c>
    </row>
    <row r="97" spans="1:8" ht="12.75">
      <c r="A97" s="337"/>
      <c r="B97" s="337"/>
      <c r="C97" s="341">
        <v>4040</v>
      </c>
      <c r="D97" s="342" t="s">
        <v>5</v>
      </c>
      <c r="E97" s="448">
        <v>89777</v>
      </c>
      <c r="F97" s="343">
        <v>85733</v>
      </c>
      <c r="G97" s="343">
        <v>85732.48</v>
      </c>
      <c r="H97" s="343">
        <f t="shared" si="3"/>
        <v>99.99939346575997</v>
      </c>
    </row>
    <row r="98" spans="1:8" ht="12.75">
      <c r="A98" s="337"/>
      <c r="B98" s="337"/>
      <c r="C98" s="341">
        <v>4110</v>
      </c>
      <c r="D98" s="342" t="s">
        <v>7</v>
      </c>
      <c r="E98" s="448">
        <v>237127</v>
      </c>
      <c r="F98" s="343">
        <v>217127</v>
      </c>
      <c r="G98" s="343">
        <v>217127.52</v>
      </c>
      <c r="H98" s="343">
        <f t="shared" si="3"/>
        <v>100.00023949117336</v>
      </c>
    </row>
    <row r="99" spans="1:8" ht="12.75">
      <c r="A99" s="337"/>
      <c r="B99" s="337"/>
      <c r="C99" s="341">
        <v>4120</v>
      </c>
      <c r="D99" s="342" t="s">
        <v>1</v>
      </c>
      <c r="E99" s="448">
        <v>33738</v>
      </c>
      <c r="F99" s="343">
        <v>27238</v>
      </c>
      <c r="G99" s="343">
        <v>26741.32</v>
      </c>
      <c r="H99" s="343">
        <f t="shared" si="3"/>
        <v>98.17651809971363</v>
      </c>
    </row>
    <row r="100" spans="1:8" ht="12.75">
      <c r="A100" s="337"/>
      <c r="B100" s="337"/>
      <c r="C100" s="375">
        <v>4240</v>
      </c>
      <c r="D100" s="349" t="s">
        <v>53</v>
      </c>
      <c r="E100" s="449"/>
      <c r="F100" s="347">
        <v>2005</v>
      </c>
      <c r="G100" s="347">
        <v>1899.74</v>
      </c>
      <c r="H100" s="347">
        <f t="shared" si="3"/>
        <v>94.7501246882793</v>
      </c>
    </row>
    <row r="101" spans="1:8" ht="13.5" thickBot="1">
      <c r="A101" s="337"/>
      <c r="B101" s="337"/>
      <c r="C101" s="337">
        <v>4440</v>
      </c>
      <c r="D101" s="326" t="s">
        <v>8</v>
      </c>
      <c r="E101" s="449">
        <v>60845</v>
      </c>
      <c r="F101" s="347">
        <v>62127</v>
      </c>
      <c r="G101" s="347">
        <v>62127</v>
      </c>
      <c r="H101" s="347">
        <f t="shared" si="3"/>
        <v>100</v>
      </c>
    </row>
    <row r="102" spans="1:8" s="348" customFormat="1" ht="13.5" thickBot="1">
      <c r="A102" s="335"/>
      <c r="B102" s="330">
        <v>80111</v>
      </c>
      <c r="C102" s="330"/>
      <c r="D102" s="336" t="s">
        <v>54</v>
      </c>
      <c r="E102" s="446">
        <f>SUM(E103:E108)</f>
        <v>1130267</v>
      </c>
      <c r="F102" s="311">
        <f>SUM(F103:F108)</f>
        <v>919100</v>
      </c>
      <c r="G102" s="311">
        <f>SUM(G103:G108)</f>
        <v>918679.18</v>
      </c>
      <c r="H102" s="311">
        <f t="shared" si="3"/>
        <v>99.95421390490698</v>
      </c>
    </row>
    <row r="103" spans="1:8" ht="12.75">
      <c r="A103" s="337"/>
      <c r="B103" s="337"/>
      <c r="C103" s="341">
        <v>4010</v>
      </c>
      <c r="D103" s="342" t="s">
        <v>0</v>
      </c>
      <c r="E103" s="447">
        <v>890002</v>
      </c>
      <c r="F103" s="340">
        <v>673002</v>
      </c>
      <c r="G103" s="343">
        <v>673002.43</v>
      </c>
      <c r="H103" s="343">
        <f t="shared" si="3"/>
        <v>100.00006389282647</v>
      </c>
    </row>
    <row r="104" spans="1:8" ht="12.75">
      <c r="A104" s="337"/>
      <c r="B104" s="337"/>
      <c r="C104" s="341">
        <v>4040</v>
      </c>
      <c r="D104" s="342" t="s">
        <v>5</v>
      </c>
      <c r="E104" s="448">
        <v>60324</v>
      </c>
      <c r="F104" s="343">
        <v>60007</v>
      </c>
      <c r="G104" s="343">
        <v>60006.57</v>
      </c>
      <c r="H104" s="343">
        <f t="shared" si="3"/>
        <v>99.99928341693469</v>
      </c>
    </row>
    <row r="105" spans="1:8" ht="12.75">
      <c r="A105" s="337"/>
      <c r="B105" s="337"/>
      <c r="C105" s="341">
        <v>4110</v>
      </c>
      <c r="D105" s="342" t="s">
        <v>7</v>
      </c>
      <c r="E105" s="448">
        <v>126752</v>
      </c>
      <c r="F105" s="343">
        <v>131552</v>
      </c>
      <c r="G105" s="343">
        <v>131552</v>
      </c>
      <c r="H105" s="343">
        <f t="shared" si="3"/>
        <v>100</v>
      </c>
    </row>
    <row r="106" spans="1:8" ht="12.75">
      <c r="A106" s="337"/>
      <c r="B106" s="337"/>
      <c r="C106" s="341">
        <v>4120</v>
      </c>
      <c r="D106" s="342" t="s">
        <v>1</v>
      </c>
      <c r="E106" s="448">
        <v>18014</v>
      </c>
      <c r="F106" s="343">
        <v>18214</v>
      </c>
      <c r="G106" s="343">
        <v>18160.77</v>
      </c>
      <c r="H106" s="343">
        <f t="shared" si="3"/>
        <v>99.70775227846713</v>
      </c>
    </row>
    <row r="107" spans="1:8" ht="12.75">
      <c r="A107" s="337"/>
      <c r="B107" s="337"/>
      <c r="C107" s="375">
        <v>4240</v>
      </c>
      <c r="D107" s="349" t="s">
        <v>53</v>
      </c>
      <c r="E107" s="449"/>
      <c r="F107" s="347">
        <v>1150</v>
      </c>
      <c r="G107" s="347">
        <v>782.41</v>
      </c>
      <c r="H107" s="347">
        <f t="shared" si="3"/>
        <v>68.03565217391304</v>
      </c>
    </row>
    <row r="108" spans="1:8" ht="13.5" thickBot="1">
      <c r="A108" s="337"/>
      <c r="B108" s="337"/>
      <c r="C108" s="337">
        <v>4440</v>
      </c>
      <c r="D108" s="326" t="s">
        <v>8</v>
      </c>
      <c r="E108" s="449">
        <v>35175</v>
      </c>
      <c r="F108" s="347">
        <v>35175</v>
      </c>
      <c r="G108" s="347">
        <v>35175</v>
      </c>
      <c r="H108" s="347">
        <f t="shared" si="3"/>
        <v>100</v>
      </c>
    </row>
    <row r="109" spans="1:8" ht="13.5" thickBot="1">
      <c r="A109" s="337"/>
      <c r="B109" s="330">
        <v>80134</v>
      </c>
      <c r="C109" s="356"/>
      <c r="D109" s="336" t="s">
        <v>9</v>
      </c>
      <c r="E109" s="446">
        <f>SUM(E110:E114)</f>
        <v>118811</v>
      </c>
      <c r="F109" s="311">
        <f>SUM(F110:F114)</f>
        <v>273830</v>
      </c>
      <c r="G109" s="311">
        <f>SUM(G110:G114)</f>
        <v>273749.41000000003</v>
      </c>
      <c r="H109" s="311">
        <f t="shared" si="3"/>
        <v>99.97056933133697</v>
      </c>
    </row>
    <row r="110" spans="1:8" ht="12.75">
      <c r="A110" s="337"/>
      <c r="B110" s="337"/>
      <c r="C110" s="341">
        <v>4010</v>
      </c>
      <c r="D110" s="342" t="s">
        <v>0</v>
      </c>
      <c r="E110" s="448">
        <v>86344</v>
      </c>
      <c r="F110" s="343">
        <v>219328</v>
      </c>
      <c r="G110" s="343">
        <v>219328</v>
      </c>
      <c r="H110" s="343">
        <f t="shared" si="3"/>
        <v>100</v>
      </c>
    </row>
    <row r="111" spans="1:8" ht="12.75">
      <c r="A111" s="337"/>
      <c r="B111" s="337"/>
      <c r="C111" s="341">
        <v>4040</v>
      </c>
      <c r="D111" s="342" t="s">
        <v>5</v>
      </c>
      <c r="E111" s="448">
        <v>8138</v>
      </c>
      <c r="F111" s="343">
        <v>8073</v>
      </c>
      <c r="G111" s="343">
        <v>8073.17</v>
      </c>
      <c r="H111" s="343">
        <f t="shared" si="3"/>
        <v>100.00210578471449</v>
      </c>
    </row>
    <row r="112" spans="1:8" ht="12.75">
      <c r="A112" s="337"/>
      <c r="B112" s="337"/>
      <c r="C112" s="341">
        <v>4110</v>
      </c>
      <c r="D112" s="342" t="s">
        <v>7</v>
      </c>
      <c r="E112" s="448">
        <v>15433</v>
      </c>
      <c r="F112" s="343">
        <v>35933</v>
      </c>
      <c r="G112" s="343">
        <v>35933</v>
      </c>
      <c r="H112" s="343">
        <f t="shared" si="3"/>
        <v>100</v>
      </c>
    </row>
    <row r="113" spans="1:8" ht="12.75">
      <c r="A113" s="337"/>
      <c r="B113" s="337"/>
      <c r="C113" s="341">
        <v>4120</v>
      </c>
      <c r="D113" s="342" t="s">
        <v>1</v>
      </c>
      <c r="E113" s="448">
        <v>2330</v>
      </c>
      <c r="F113" s="343">
        <v>3930</v>
      </c>
      <c r="G113" s="343">
        <v>3849.24</v>
      </c>
      <c r="H113" s="343">
        <f t="shared" si="3"/>
        <v>97.94503816793892</v>
      </c>
    </row>
    <row r="114" spans="1:8" ht="13.5" thickBot="1">
      <c r="A114" s="337"/>
      <c r="B114" s="306"/>
      <c r="C114" s="337">
        <v>4440</v>
      </c>
      <c r="D114" s="326" t="s">
        <v>8</v>
      </c>
      <c r="E114" s="454">
        <v>6566</v>
      </c>
      <c r="F114" s="381">
        <v>6566</v>
      </c>
      <c r="G114" s="381">
        <v>6566</v>
      </c>
      <c r="H114" s="381">
        <f t="shared" si="3"/>
        <v>100</v>
      </c>
    </row>
    <row r="115" spans="1:8" ht="13.5" thickBot="1">
      <c r="A115" s="335"/>
      <c r="B115" s="335">
        <v>80146</v>
      </c>
      <c r="C115" s="394"/>
      <c r="D115" s="384" t="s">
        <v>107</v>
      </c>
      <c r="E115" s="459">
        <f>SUM(E116:E117)</f>
        <v>0</v>
      </c>
      <c r="F115" s="310">
        <f>SUM(F116:F117)</f>
        <v>21306</v>
      </c>
      <c r="G115" s="310">
        <f>SUM(G116:G117)</f>
        <v>13968</v>
      </c>
      <c r="H115" s="310">
        <f>G115/F115*100</f>
        <v>65.55899746550267</v>
      </c>
    </row>
    <row r="116" spans="1:8" ht="12.75">
      <c r="A116" s="337"/>
      <c r="B116" s="394"/>
      <c r="C116" s="394">
        <v>4300</v>
      </c>
      <c r="D116" s="395" t="s">
        <v>43</v>
      </c>
      <c r="E116" s="460"/>
      <c r="F116" s="380">
        <v>2000</v>
      </c>
      <c r="G116" s="380">
        <v>2000</v>
      </c>
      <c r="H116" s="380">
        <f aca="true" t="shared" si="4" ref="H116:H157">G116/F116*100</f>
        <v>100</v>
      </c>
    </row>
    <row r="117" spans="1:8" ht="26.25" thickBot="1">
      <c r="A117" s="337"/>
      <c r="B117" s="337"/>
      <c r="C117" s="345">
        <v>4700</v>
      </c>
      <c r="D117" s="352" t="s">
        <v>406</v>
      </c>
      <c r="E117" s="449"/>
      <c r="F117" s="347">
        <v>19306</v>
      </c>
      <c r="G117" s="352">
        <v>11968</v>
      </c>
      <c r="H117" s="347">
        <f t="shared" si="4"/>
        <v>61.99109085258468</v>
      </c>
    </row>
    <row r="118" spans="1:8" ht="13.5" thickBot="1">
      <c r="A118" s="337"/>
      <c r="B118" s="330">
        <v>80195</v>
      </c>
      <c r="C118" s="356"/>
      <c r="D118" s="357" t="s">
        <v>2</v>
      </c>
      <c r="E118" s="446">
        <f>SUM(E119:E119)</f>
        <v>0</v>
      </c>
      <c r="F118" s="311">
        <f>SUM(F119:F119)</f>
        <v>16549</v>
      </c>
      <c r="G118" s="311">
        <f>SUM(G119:G119)</f>
        <v>16549</v>
      </c>
      <c r="H118" s="311">
        <f>G118/F118*100</f>
        <v>100</v>
      </c>
    </row>
    <row r="119" spans="1:8" ht="13.5" thickBot="1">
      <c r="A119" s="337"/>
      <c r="B119" s="337"/>
      <c r="C119" s="327">
        <v>4440</v>
      </c>
      <c r="D119" s="314" t="s">
        <v>8</v>
      </c>
      <c r="E119" s="450"/>
      <c r="F119" s="358">
        <v>16549</v>
      </c>
      <c r="G119" s="351">
        <v>16549</v>
      </c>
      <c r="H119" s="355">
        <f>G119/F119*100</f>
        <v>100</v>
      </c>
    </row>
    <row r="120" spans="1:8" s="348" customFormat="1" ht="13.5" thickBot="1">
      <c r="A120" s="359">
        <v>854</v>
      </c>
      <c r="B120" s="330">
        <v>85403</v>
      </c>
      <c r="C120" s="330"/>
      <c r="D120" s="336" t="s">
        <v>61</v>
      </c>
      <c r="E120" s="446">
        <f>SUM(E121:E148)</f>
        <v>709690</v>
      </c>
      <c r="F120" s="311">
        <f>SUM(F121:F148)</f>
        <v>743097</v>
      </c>
      <c r="G120" s="311">
        <f>SUM(G121:G148)</f>
        <v>711512.52</v>
      </c>
      <c r="H120" s="311">
        <f t="shared" si="4"/>
        <v>95.74961546070028</v>
      </c>
    </row>
    <row r="121" spans="1:8" ht="12.75">
      <c r="A121" s="337"/>
      <c r="B121" s="337"/>
      <c r="C121" s="341">
        <v>3020</v>
      </c>
      <c r="D121" s="342" t="s">
        <v>101</v>
      </c>
      <c r="E121" s="448">
        <v>7000</v>
      </c>
      <c r="F121" s="343">
        <v>63</v>
      </c>
      <c r="G121" s="343">
        <v>62.65</v>
      </c>
      <c r="H121" s="343">
        <f t="shared" si="4"/>
        <v>99.44444444444444</v>
      </c>
    </row>
    <row r="122" spans="1:8" ht="12.75">
      <c r="A122" s="337"/>
      <c r="B122" s="337"/>
      <c r="C122" s="341">
        <v>4010</v>
      </c>
      <c r="D122" s="342" t="s">
        <v>0</v>
      </c>
      <c r="E122" s="448">
        <v>327802</v>
      </c>
      <c r="F122" s="343">
        <v>327802</v>
      </c>
      <c r="G122" s="343">
        <v>322573.64</v>
      </c>
      <c r="H122" s="343">
        <f t="shared" si="4"/>
        <v>98.40502498459436</v>
      </c>
    </row>
    <row r="123" spans="1:8" ht="12.75">
      <c r="A123" s="337"/>
      <c r="B123" s="337"/>
      <c r="C123" s="341">
        <v>4040</v>
      </c>
      <c r="D123" s="342" t="s">
        <v>5</v>
      </c>
      <c r="E123" s="448">
        <v>30762</v>
      </c>
      <c r="F123" s="343">
        <v>30269</v>
      </c>
      <c r="G123" s="343">
        <v>30268.58</v>
      </c>
      <c r="H123" s="343">
        <f t="shared" si="4"/>
        <v>99.99861244177211</v>
      </c>
    </row>
    <row r="124" spans="1:8" ht="12.75">
      <c r="A124" s="337"/>
      <c r="B124" s="337"/>
      <c r="C124" s="341">
        <v>4110</v>
      </c>
      <c r="D124" s="342" t="s">
        <v>7</v>
      </c>
      <c r="E124" s="448">
        <v>60925</v>
      </c>
      <c r="F124" s="343">
        <v>60925</v>
      </c>
      <c r="G124" s="343">
        <v>60592.39</v>
      </c>
      <c r="H124" s="343">
        <f t="shared" si="4"/>
        <v>99.4540664751744</v>
      </c>
    </row>
    <row r="125" spans="1:8" ht="12.75">
      <c r="A125" s="337"/>
      <c r="B125" s="337"/>
      <c r="C125" s="341">
        <v>4120</v>
      </c>
      <c r="D125" s="342" t="s">
        <v>1</v>
      </c>
      <c r="E125" s="448">
        <v>8580</v>
      </c>
      <c r="F125" s="343">
        <v>8580</v>
      </c>
      <c r="G125" s="343">
        <v>8580</v>
      </c>
      <c r="H125" s="343">
        <f t="shared" si="4"/>
        <v>100</v>
      </c>
    </row>
    <row r="126" spans="1:8" ht="12.75" hidden="1">
      <c r="A126" s="337"/>
      <c r="B126" s="337"/>
      <c r="C126" s="375">
        <v>4170</v>
      </c>
      <c r="D126" s="349" t="s">
        <v>102</v>
      </c>
      <c r="E126" s="448">
        <v>1500</v>
      </c>
      <c r="F126" s="343"/>
      <c r="G126" s="343"/>
      <c r="H126" s="343" t="e">
        <f t="shared" si="4"/>
        <v>#DIV/0!</v>
      </c>
    </row>
    <row r="127" spans="1:8" ht="12.75">
      <c r="A127" s="337"/>
      <c r="B127" s="337"/>
      <c r="C127" s="341">
        <v>4210</v>
      </c>
      <c r="D127" s="342" t="s">
        <v>44</v>
      </c>
      <c r="E127" s="448">
        <v>23550</v>
      </c>
      <c r="F127" s="343">
        <v>20406</v>
      </c>
      <c r="G127" s="343">
        <v>20406.49</v>
      </c>
      <c r="H127" s="343">
        <f t="shared" si="4"/>
        <v>100.002401254533</v>
      </c>
    </row>
    <row r="128" spans="1:8" ht="12.75">
      <c r="A128" s="337"/>
      <c r="B128" s="337"/>
      <c r="C128" s="341">
        <v>4211</v>
      </c>
      <c r="D128" s="342" t="s">
        <v>44</v>
      </c>
      <c r="E128" s="448">
        <v>8500</v>
      </c>
      <c r="F128" s="343">
        <v>16805</v>
      </c>
      <c r="G128" s="343">
        <v>4.44</v>
      </c>
      <c r="H128" s="343">
        <f t="shared" si="4"/>
        <v>0.026420708122582567</v>
      </c>
    </row>
    <row r="129" spans="1:8" ht="12.75">
      <c r="A129" s="337"/>
      <c r="B129" s="337"/>
      <c r="C129" s="341">
        <v>4220</v>
      </c>
      <c r="D129" s="342" t="s">
        <v>62</v>
      </c>
      <c r="E129" s="448">
        <v>45000</v>
      </c>
      <c r="F129" s="343">
        <v>47135</v>
      </c>
      <c r="G129" s="343">
        <v>41913.34</v>
      </c>
      <c r="H129" s="343">
        <f t="shared" si="4"/>
        <v>88.92190516601251</v>
      </c>
    </row>
    <row r="130" spans="1:8" ht="12.75" hidden="1">
      <c r="A130" s="337"/>
      <c r="B130" s="337"/>
      <c r="C130" s="375">
        <v>4240</v>
      </c>
      <c r="D130" s="349" t="s">
        <v>53</v>
      </c>
      <c r="E130" s="447">
        <v>1000</v>
      </c>
      <c r="F130" s="340"/>
      <c r="G130" s="340"/>
      <c r="H130" s="343" t="e">
        <f t="shared" si="4"/>
        <v>#DIV/0!</v>
      </c>
    </row>
    <row r="131" spans="1:8" ht="12.75">
      <c r="A131" s="337"/>
      <c r="B131" s="337"/>
      <c r="C131" s="341">
        <v>4260</v>
      </c>
      <c r="D131" s="342" t="s">
        <v>45</v>
      </c>
      <c r="E131" s="448">
        <v>68100</v>
      </c>
      <c r="F131" s="343">
        <v>89172</v>
      </c>
      <c r="G131" s="343">
        <v>89171.55</v>
      </c>
      <c r="H131" s="343">
        <f t="shared" si="4"/>
        <v>99.99949535728705</v>
      </c>
    </row>
    <row r="132" spans="1:8" ht="12.75">
      <c r="A132" s="337"/>
      <c r="B132" s="337"/>
      <c r="C132" s="341">
        <v>4270</v>
      </c>
      <c r="D132" s="342" t="s">
        <v>46</v>
      </c>
      <c r="E132" s="448">
        <v>44000</v>
      </c>
      <c r="F132" s="343">
        <v>47897</v>
      </c>
      <c r="G132" s="343">
        <v>47896.66</v>
      </c>
      <c r="H132" s="343">
        <f t="shared" si="4"/>
        <v>99.9992901434328</v>
      </c>
    </row>
    <row r="133" spans="1:8" ht="12.75">
      <c r="A133" s="337"/>
      <c r="B133" s="337"/>
      <c r="C133" s="341">
        <v>4280</v>
      </c>
      <c r="D133" s="378" t="s">
        <v>75</v>
      </c>
      <c r="E133" s="448">
        <v>1500</v>
      </c>
      <c r="F133" s="343">
        <v>2180</v>
      </c>
      <c r="G133" s="376">
        <v>2180</v>
      </c>
      <c r="H133" s="343">
        <f t="shared" si="4"/>
        <v>100</v>
      </c>
    </row>
    <row r="134" spans="1:8" ht="12.75">
      <c r="A134" s="337"/>
      <c r="B134" s="337"/>
      <c r="C134" s="341">
        <v>4300</v>
      </c>
      <c r="D134" s="342" t="s">
        <v>43</v>
      </c>
      <c r="E134" s="448">
        <v>24697</v>
      </c>
      <c r="F134" s="343">
        <v>32505</v>
      </c>
      <c r="G134" s="343">
        <v>32504.5</v>
      </c>
      <c r="H134" s="343">
        <f t="shared" si="4"/>
        <v>99.99846177511152</v>
      </c>
    </row>
    <row r="135" spans="1:8" ht="12.75">
      <c r="A135" s="337"/>
      <c r="B135" s="337"/>
      <c r="C135" s="341">
        <v>4301</v>
      </c>
      <c r="D135" s="342" t="s">
        <v>43</v>
      </c>
      <c r="E135" s="448">
        <v>44</v>
      </c>
      <c r="F135" s="343">
        <v>2755</v>
      </c>
      <c r="G135" s="343">
        <v>2755.44</v>
      </c>
      <c r="H135" s="343">
        <f t="shared" si="4"/>
        <v>100.01597096188748</v>
      </c>
    </row>
    <row r="136" spans="1:8" ht="12.75" hidden="1">
      <c r="A136" s="337"/>
      <c r="B136" s="337"/>
      <c r="C136" s="345">
        <v>4350</v>
      </c>
      <c r="D136" s="349" t="s">
        <v>110</v>
      </c>
      <c r="E136" s="448">
        <v>351</v>
      </c>
      <c r="F136" s="343"/>
      <c r="G136" s="343"/>
      <c r="H136" s="343" t="e">
        <f t="shared" si="4"/>
        <v>#DIV/0!</v>
      </c>
    </row>
    <row r="137" spans="1:8" ht="12.75">
      <c r="A137" s="337"/>
      <c r="B137" s="337"/>
      <c r="C137" s="341">
        <v>4360</v>
      </c>
      <c r="D137" s="623" t="s">
        <v>612</v>
      </c>
      <c r="E137" s="449"/>
      <c r="F137" s="347">
        <v>1827</v>
      </c>
      <c r="G137" s="352">
        <v>1826.77</v>
      </c>
      <c r="H137" s="347">
        <f t="shared" si="4"/>
        <v>99.98741105637657</v>
      </c>
    </row>
    <row r="138" spans="1:8" ht="38.25" hidden="1">
      <c r="A138" s="337"/>
      <c r="B138" s="337"/>
      <c r="C138" s="345">
        <v>4370</v>
      </c>
      <c r="D138" s="350" t="s">
        <v>598</v>
      </c>
      <c r="E138" s="449">
        <v>1620</v>
      </c>
      <c r="F138" s="347"/>
      <c r="G138" s="347"/>
      <c r="H138" s="347" t="e">
        <f t="shared" si="4"/>
        <v>#DIV/0!</v>
      </c>
    </row>
    <row r="139" spans="1:8" ht="12.75">
      <c r="A139" s="337"/>
      <c r="B139" s="337"/>
      <c r="C139" s="345">
        <v>4410</v>
      </c>
      <c r="D139" s="346" t="s">
        <v>6</v>
      </c>
      <c r="E139" s="448">
        <v>2000</v>
      </c>
      <c r="F139" s="343">
        <v>2271</v>
      </c>
      <c r="G139" s="343">
        <v>2270.57</v>
      </c>
      <c r="H139" s="343">
        <f t="shared" si="4"/>
        <v>99.9810656098635</v>
      </c>
    </row>
    <row r="140" spans="1:8" ht="12.75" hidden="1">
      <c r="A140" s="337"/>
      <c r="B140" s="337"/>
      <c r="C140" s="345">
        <v>4411</v>
      </c>
      <c r="D140" s="346" t="s">
        <v>6</v>
      </c>
      <c r="E140" s="448">
        <v>1800</v>
      </c>
      <c r="F140" s="343"/>
      <c r="G140" s="343"/>
      <c r="H140" s="343" t="e">
        <f t="shared" si="4"/>
        <v>#DIV/0!</v>
      </c>
    </row>
    <row r="141" spans="1:8" ht="12.75">
      <c r="A141" s="337"/>
      <c r="B141" s="337"/>
      <c r="C141" s="341">
        <v>4421</v>
      </c>
      <c r="D141" s="342" t="s">
        <v>381</v>
      </c>
      <c r="E141" s="448">
        <v>14000</v>
      </c>
      <c r="F141" s="343">
        <v>19704</v>
      </c>
      <c r="G141" s="343">
        <v>19704.06</v>
      </c>
      <c r="H141" s="343">
        <f>G141/F141*100</f>
        <v>100.00030450669914</v>
      </c>
    </row>
    <row r="142" spans="1:8" ht="12.75">
      <c r="A142" s="337"/>
      <c r="B142" s="337"/>
      <c r="C142" s="341">
        <v>4430</v>
      </c>
      <c r="D142" s="342" t="s">
        <v>3</v>
      </c>
      <c r="E142" s="448">
        <v>7600</v>
      </c>
      <c r="F142" s="343">
        <v>5529</v>
      </c>
      <c r="G142" s="343">
        <v>5529</v>
      </c>
      <c r="H142" s="343">
        <f t="shared" si="4"/>
        <v>100</v>
      </c>
    </row>
    <row r="143" spans="1:8" ht="12.75">
      <c r="A143" s="337"/>
      <c r="B143" s="337"/>
      <c r="C143" s="341">
        <v>4431</v>
      </c>
      <c r="D143" s="342" t="s">
        <v>3</v>
      </c>
      <c r="E143" s="448">
        <v>200</v>
      </c>
      <c r="F143" s="343">
        <v>180</v>
      </c>
      <c r="G143" s="343">
        <v>180.48</v>
      </c>
      <c r="H143" s="343">
        <f t="shared" si="4"/>
        <v>100.26666666666667</v>
      </c>
    </row>
    <row r="144" spans="1:8" ht="12.75">
      <c r="A144" s="337"/>
      <c r="B144" s="337"/>
      <c r="C144" s="341">
        <v>4440</v>
      </c>
      <c r="D144" s="342" t="s">
        <v>8</v>
      </c>
      <c r="E144" s="448">
        <v>20159</v>
      </c>
      <c r="F144" s="343">
        <v>20159</v>
      </c>
      <c r="G144" s="343">
        <v>20159</v>
      </c>
      <c r="H144" s="343">
        <f t="shared" si="4"/>
        <v>100</v>
      </c>
    </row>
    <row r="145" spans="1:8" ht="25.5">
      <c r="A145" s="337"/>
      <c r="B145" s="337"/>
      <c r="C145" s="345">
        <v>4520</v>
      </c>
      <c r="D145" s="346" t="s">
        <v>625</v>
      </c>
      <c r="E145" s="449"/>
      <c r="F145" s="347">
        <v>2293</v>
      </c>
      <c r="G145" s="347">
        <v>2292.96</v>
      </c>
      <c r="H145" s="347">
        <f t="shared" si="4"/>
        <v>99.99825556040123</v>
      </c>
    </row>
    <row r="146" spans="1:8" ht="25.5">
      <c r="A146" s="337"/>
      <c r="B146" s="337"/>
      <c r="C146" s="345">
        <v>4700</v>
      </c>
      <c r="D146" s="352" t="s">
        <v>406</v>
      </c>
      <c r="E146" s="449">
        <v>1000</v>
      </c>
      <c r="F146" s="347">
        <v>640</v>
      </c>
      <c r="G146" s="347">
        <v>640</v>
      </c>
      <c r="H146" s="347">
        <f>G146/F146*100</f>
        <v>100</v>
      </c>
    </row>
    <row r="147" spans="1:8" ht="25.5" hidden="1">
      <c r="A147" s="337"/>
      <c r="B147" s="337"/>
      <c r="C147" s="345">
        <v>4701</v>
      </c>
      <c r="D147" s="352" t="s">
        <v>406</v>
      </c>
      <c r="E147" s="449">
        <v>1000</v>
      </c>
      <c r="F147" s="347"/>
      <c r="G147" s="347"/>
      <c r="H147" s="347" t="e">
        <f t="shared" si="4"/>
        <v>#DIV/0!</v>
      </c>
    </row>
    <row r="148" spans="1:8" ht="13.5" thickBot="1">
      <c r="A148" s="337"/>
      <c r="B148" s="337"/>
      <c r="C148" s="396">
        <v>6050</v>
      </c>
      <c r="D148" s="382" t="s">
        <v>47</v>
      </c>
      <c r="E148" s="454">
        <v>7000</v>
      </c>
      <c r="F148" s="381">
        <v>4000</v>
      </c>
      <c r="G148" s="381">
        <v>0</v>
      </c>
      <c r="H148" s="347">
        <f t="shared" si="4"/>
        <v>0</v>
      </c>
    </row>
    <row r="149" spans="1:8" s="348" customFormat="1" ht="13.5" thickBot="1">
      <c r="A149" s="335"/>
      <c r="B149" s="330">
        <v>85404</v>
      </c>
      <c r="C149" s="330"/>
      <c r="D149" s="379" t="s">
        <v>180</v>
      </c>
      <c r="E149" s="446">
        <f>SUM(E150:E153)</f>
        <v>61277</v>
      </c>
      <c r="F149" s="311">
        <f>SUM(F150:F153)</f>
        <v>57612</v>
      </c>
      <c r="G149" s="311">
        <f>SUM(G150:G153)</f>
        <v>54488.71</v>
      </c>
      <c r="H149" s="311">
        <f t="shared" si="4"/>
        <v>94.57875095466221</v>
      </c>
    </row>
    <row r="150" spans="1:8" ht="12.75">
      <c r="A150" s="337"/>
      <c r="B150" s="337"/>
      <c r="C150" s="341">
        <v>4010</v>
      </c>
      <c r="D150" s="342" t="s">
        <v>0</v>
      </c>
      <c r="E150" s="450">
        <v>47540</v>
      </c>
      <c r="F150" s="358">
        <v>47540</v>
      </c>
      <c r="G150" s="358">
        <v>45086.67</v>
      </c>
      <c r="H150" s="358">
        <f t="shared" si="4"/>
        <v>94.83944047118216</v>
      </c>
    </row>
    <row r="151" spans="1:8" ht="12.75" hidden="1">
      <c r="A151" s="337"/>
      <c r="B151" s="337"/>
      <c r="C151" s="341">
        <v>4040</v>
      </c>
      <c r="D151" s="342" t="s">
        <v>5</v>
      </c>
      <c r="E151" s="448">
        <v>3665</v>
      </c>
      <c r="F151" s="343"/>
      <c r="G151" s="343"/>
      <c r="H151" s="343" t="e">
        <f t="shared" si="4"/>
        <v>#DIV/0!</v>
      </c>
    </row>
    <row r="152" spans="1:8" ht="12.75">
      <c r="A152" s="337"/>
      <c r="B152" s="337"/>
      <c r="C152" s="341">
        <v>4110</v>
      </c>
      <c r="D152" s="342" t="s">
        <v>7</v>
      </c>
      <c r="E152" s="448">
        <v>8817</v>
      </c>
      <c r="F152" s="343">
        <v>8817</v>
      </c>
      <c r="G152" s="343">
        <v>8423.63</v>
      </c>
      <c r="H152" s="343">
        <f t="shared" si="4"/>
        <v>95.53850516048541</v>
      </c>
    </row>
    <row r="153" spans="1:8" ht="13.5" thickBot="1">
      <c r="A153" s="306"/>
      <c r="B153" s="306"/>
      <c r="C153" s="396">
        <v>4120</v>
      </c>
      <c r="D153" s="397" t="s">
        <v>1</v>
      </c>
      <c r="E153" s="466">
        <v>1255</v>
      </c>
      <c r="F153" s="355">
        <v>1255</v>
      </c>
      <c r="G153" s="355">
        <v>978.41</v>
      </c>
      <c r="H153" s="355">
        <f t="shared" si="4"/>
        <v>77.9609561752988</v>
      </c>
    </row>
    <row r="154" spans="1:8" ht="13.5" hidden="1" thickBot="1">
      <c r="A154" s="337"/>
      <c r="B154" s="354">
        <v>85446</v>
      </c>
      <c r="C154" s="354"/>
      <c r="D154" s="399" t="s">
        <v>107</v>
      </c>
      <c r="E154" s="472">
        <f>SUM(E155:E155)</f>
        <v>0</v>
      </c>
      <c r="F154" s="400">
        <f>SUM(F155:F155)</f>
        <v>0</v>
      </c>
      <c r="G154" s="400">
        <f>SUM(G155:G155)</f>
        <v>0</v>
      </c>
      <c r="H154" s="400" t="e">
        <f t="shared" si="4"/>
        <v>#DIV/0!</v>
      </c>
    </row>
    <row r="155" spans="1:8" ht="13.5" hidden="1" thickBot="1">
      <c r="A155" s="337"/>
      <c r="B155" s="354"/>
      <c r="C155" s="396">
        <v>4300</v>
      </c>
      <c r="D155" s="397" t="s">
        <v>43</v>
      </c>
      <c r="E155" s="454"/>
      <c r="F155" s="381"/>
      <c r="G155" s="381"/>
      <c r="H155" s="381" t="e">
        <f t="shared" si="4"/>
        <v>#DIV/0!</v>
      </c>
    </row>
    <row r="156" spans="1:8" s="348" customFormat="1" ht="13.5" hidden="1" thickBot="1">
      <c r="A156" s="335"/>
      <c r="B156" s="354">
        <v>85495</v>
      </c>
      <c r="C156" s="354"/>
      <c r="D156" s="398" t="s">
        <v>2</v>
      </c>
      <c r="E156" s="461"/>
      <c r="F156" s="400">
        <f>F157</f>
        <v>0</v>
      </c>
      <c r="G156" s="400">
        <f>G157</f>
        <v>0</v>
      </c>
      <c r="H156" s="400" t="e">
        <f t="shared" si="4"/>
        <v>#DIV/0!</v>
      </c>
    </row>
    <row r="157" spans="1:8" ht="13.5" hidden="1" thickBot="1">
      <c r="A157" s="306"/>
      <c r="B157" s="306"/>
      <c r="C157" s="306">
        <v>4440</v>
      </c>
      <c r="D157" s="314" t="s">
        <v>8</v>
      </c>
      <c r="E157" s="462"/>
      <c r="F157" s="355"/>
      <c r="G157" s="355"/>
      <c r="H157" s="355" t="e">
        <f t="shared" si="4"/>
        <v>#DIV/0!</v>
      </c>
    </row>
    <row r="158" spans="1:8" ht="12.75">
      <c r="A158" s="327"/>
      <c r="B158" s="327"/>
      <c r="C158" s="327"/>
      <c r="D158" s="326"/>
      <c r="E158" s="452"/>
      <c r="F158" s="351"/>
      <c r="G158" s="351"/>
      <c r="H158" s="351"/>
    </row>
    <row r="159" spans="1:8" s="348" customFormat="1" ht="13.5" thickBot="1">
      <c r="A159" s="364"/>
      <c r="B159" s="364"/>
      <c r="C159" s="364"/>
      <c r="D159" s="401"/>
      <c r="E159" s="463"/>
      <c r="F159" s="402"/>
      <c r="G159" s="402"/>
      <c r="H159" s="402"/>
    </row>
    <row r="160" spans="1:8" ht="19.5" thickBot="1">
      <c r="A160" s="831" t="s">
        <v>158</v>
      </c>
      <c r="B160" s="832"/>
      <c r="C160" s="832"/>
      <c r="D160" s="832"/>
      <c r="E160" s="832"/>
      <c r="F160" s="832"/>
      <c r="G160" s="833"/>
      <c r="H160" s="403"/>
    </row>
    <row r="161" spans="1:8" ht="16.5" thickBot="1">
      <c r="A161" s="335"/>
      <c r="B161" s="337"/>
      <c r="C161" s="337"/>
      <c r="D161" s="369" t="s">
        <v>10</v>
      </c>
      <c r="E161" s="464">
        <f>E162+E184+E181</f>
        <v>562741</v>
      </c>
      <c r="F161" s="404">
        <f>F162+F184+F181</f>
        <v>575628</v>
      </c>
      <c r="G161" s="404">
        <f>G162+G184+G181</f>
        <v>525999.28</v>
      </c>
      <c r="H161" s="370">
        <f>G161/F161*100</f>
        <v>91.37833461888582</v>
      </c>
    </row>
    <row r="162" spans="1:8" ht="26.25" thickBot="1">
      <c r="A162" s="405">
        <v>854</v>
      </c>
      <c r="B162" s="330">
        <v>85406</v>
      </c>
      <c r="C162" s="435"/>
      <c r="D162" s="420" t="s">
        <v>596</v>
      </c>
      <c r="E162" s="465">
        <f>SUM(E163:E180)</f>
        <v>562741</v>
      </c>
      <c r="F162" s="151">
        <f>SUM(F163:F180)</f>
        <v>564071</v>
      </c>
      <c r="G162" s="151">
        <f>SUM(G163:G180)</f>
        <v>514477.78</v>
      </c>
      <c r="H162" s="311">
        <f>G162/F162*100</f>
        <v>91.20798268303105</v>
      </c>
    </row>
    <row r="163" spans="1:8" ht="12.75">
      <c r="A163" s="337"/>
      <c r="B163" s="337"/>
      <c r="C163" s="338">
        <v>3020</v>
      </c>
      <c r="D163" s="339" t="s">
        <v>101</v>
      </c>
      <c r="E163" s="447">
        <v>375</v>
      </c>
      <c r="F163" s="340">
        <v>375</v>
      </c>
      <c r="G163" s="340">
        <v>0</v>
      </c>
      <c r="H163" s="340">
        <f>G163/F163*100</f>
        <v>0</v>
      </c>
    </row>
    <row r="164" spans="1:8" ht="12.75">
      <c r="A164" s="337"/>
      <c r="B164" s="337"/>
      <c r="C164" s="341">
        <v>4010</v>
      </c>
      <c r="D164" s="342" t="s">
        <v>0</v>
      </c>
      <c r="E164" s="448">
        <v>396023</v>
      </c>
      <c r="F164" s="343">
        <v>397353</v>
      </c>
      <c r="G164" s="343">
        <v>356881.25</v>
      </c>
      <c r="H164" s="343">
        <f>G164/F164*100</f>
        <v>89.81466101929519</v>
      </c>
    </row>
    <row r="165" spans="1:8" ht="12.75">
      <c r="A165" s="337"/>
      <c r="B165" s="337"/>
      <c r="C165" s="341">
        <v>4040</v>
      </c>
      <c r="D165" s="342" t="s">
        <v>5</v>
      </c>
      <c r="E165" s="448">
        <v>28490</v>
      </c>
      <c r="F165" s="343">
        <v>28252</v>
      </c>
      <c r="G165" s="343">
        <v>28252.47</v>
      </c>
      <c r="H165" s="343">
        <f aca="true" t="shared" si="5" ref="H165:H185">G165/F165*100</f>
        <v>100.00166359903724</v>
      </c>
    </row>
    <row r="166" spans="1:8" ht="12.75">
      <c r="A166" s="337"/>
      <c r="B166" s="337"/>
      <c r="C166" s="341">
        <v>4110</v>
      </c>
      <c r="D166" s="342" t="s">
        <v>7</v>
      </c>
      <c r="E166" s="448">
        <v>73780</v>
      </c>
      <c r="F166" s="343">
        <v>72342</v>
      </c>
      <c r="G166" s="343">
        <v>69591.53</v>
      </c>
      <c r="H166" s="343">
        <f t="shared" si="5"/>
        <v>96.19796245611126</v>
      </c>
    </row>
    <row r="167" spans="1:8" ht="12.75">
      <c r="A167" s="337"/>
      <c r="B167" s="337"/>
      <c r="C167" s="341">
        <v>4120</v>
      </c>
      <c r="D167" s="342" t="s">
        <v>1</v>
      </c>
      <c r="E167" s="448">
        <v>10035</v>
      </c>
      <c r="F167" s="343">
        <v>10035</v>
      </c>
      <c r="G167" s="343">
        <v>7283.63</v>
      </c>
      <c r="H167" s="343">
        <f t="shared" si="5"/>
        <v>72.58226208271051</v>
      </c>
    </row>
    <row r="168" spans="1:8" ht="12.75">
      <c r="A168" s="337"/>
      <c r="B168" s="337"/>
      <c r="C168" s="341">
        <v>4210</v>
      </c>
      <c r="D168" s="342" t="s">
        <v>44</v>
      </c>
      <c r="E168" s="448">
        <v>8869</v>
      </c>
      <c r="F168" s="343">
        <v>4256</v>
      </c>
      <c r="G168" s="343">
        <v>4256</v>
      </c>
      <c r="H168" s="343">
        <f t="shared" si="5"/>
        <v>100</v>
      </c>
    </row>
    <row r="169" spans="1:8" ht="12.75">
      <c r="A169" s="337"/>
      <c r="B169" s="337"/>
      <c r="C169" s="341">
        <v>4240</v>
      </c>
      <c r="D169" s="342" t="s">
        <v>53</v>
      </c>
      <c r="E169" s="448">
        <v>1591</v>
      </c>
      <c r="F169" s="343">
        <v>1591</v>
      </c>
      <c r="G169" s="343">
        <v>1589.21</v>
      </c>
      <c r="H169" s="343">
        <f t="shared" si="5"/>
        <v>99.8874921433061</v>
      </c>
    </row>
    <row r="170" spans="1:8" ht="12.75">
      <c r="A170" s="337"/>
      <c r="B170" s="337"/>
      <c r="C170" s="341">
        <v>4260</v>
      </c>
      <c r="D170" s="342" t="s">
        <v>45</v>
      </c>
      <c r="E170" s="448">
        <v>7099</v>
      </c>
      <c r="F170" s="343">
        <v>7427</v>
      </c>
      <c r="G170" s="343">
        <v>7426.52</v>
      </c>
      <c r="H170" s="343">
        <f t="shared" si="5"/>
        <v>99.99353709438536</v>
      </c>
    </row>
    <row r="171" spans="1:8" ht="12.75">
      <c r="A171" s="337"/>
      <c r="B171" s="337"/>
      <c r="C171" s="341">
        <v>4270</v>
      </c>
      <c r="D171" s="342" t="s">
        <v>46</v>
      </c>
      <c r="E171" s="448">
        <v>1489</v>
      </c>
      <c r="F171" s="343">
        <v>870</v>
      </c>
      <c r="G171" s="343">
        <v>869.61</v>
      </c>
      <c r="H171" s="343">
        <f t="shared" si="5"/>
        <v>99.95517241379311</v>
      </c>
    </row>
    <row r="172" spans="1:8" ht="12.75">
      <c r="A172" s="337"/>
      <c r="B172" s="337"/>
      <c r="C172" s="341">
        <v>4280</v>
      </c>
      <c r="D172" s="342" t="s">
        <v>75</v>
      </c>
      <c r="E172" s="448">
        <v>780</v>
      </c>
      <c r="F172" s="343">
        <v>556</v>
      </c>
      <c r="G172" s="343">
        <v>556</v>
      </c>
      <c r="H172" s="343">
        <f t="shared" si="5"/>
        <v>100</v>
      </c>
    </row>
    <row r="173" spans="1:8" ht="12.75">
      <c r="A173" s="337"/>
      <c r="B173" s="337"/>
      <c r="C173" s="341">
        <v>4300</v>
      </c>
      <c r="D173" s="342" t="s">
        <v>43</v>
      </c>
      <c r="E173" s="448">
        <v>6532</v>
      </c>
      <c r="F173" s="343">
        <v>12273</v>
      </c>
      <c r="G173" s="343">
        <v>12273.02</v>
      </c>
      <c r="H173" s="343">
        <f t="shared" si="5"/>
        <v>100.00016295934164</v>
      </c>
    </row>
    <row r="174" spans="1:8" ht="12.75" hidden="1">
      <c r="A174" s="337"/>
      <c r="B174" s="337"/>
      <c r="C174" s="341">
        <v>4350</v>
      </c>
      <c r="D174" s="349" t="s">
        <v>110</v>
      </c>
      <c r="E174" s="448">
        <v>738</v>
      </c>
      <c r="F174" s="343"/>
      <c r="G174" s="343"/>
      <c r="H174" s="343" t="e">
        <f t="shared" si="5"/>
        <v>#DIV/0!</v>
      </c>
    </row>
    <row r="175" spans="1:8" ht="12.75">
      <c r="A175" s="337"/>
      <c r="B175" s="337"/>
      <c r="C175" s="341">
        <v>4360</v>
      </c>
      <c r="D175" s="623" t="s">
        <v>612</v>
      </c>
      <c r="E175" s="449"/>
      <c r="F175" s="347">
        <v>2103</v>
      </c>
      <c r="G175" s="347">
        <v>2102.26</v>
      </c>
      <c r="H175" s="343">
        <f t="shared" si="5"/>
        <v>99.96481217308609</v>
      </c>
    </row>
    <row r="176" spans="1:8" ht="38.25" hidden="1">
      <c r="A176" s="337"/>
      <c r="B176" s="337"/>
      <c r="C176" s="345">
        <v>4370</v>
      </c>
      <c r="D176" s="350" t="s">
        <v>598</v>
      </c>
      <c r="E176" s="449">
        <v>1202</v>
      </c>
      <c r="F176" s="347"/>
      <c r="G176" s="347"/>
      <c r="H176" s="347" t="e">
        <f t="shared" si="5"/>
        <v>#DIV/0!</v>
      </c>
    </row>
    <row r="177" spans="1:8" ht="12.75">
      <c r="A177" s="337"/>
      <c r="B177" s="337"/>
      <c r="C177" s="341">
        <v>4410</v>
      </c>
      <c r="D177" s="342" t="s">
        <v>6</v>
      </c>
      <c r="E177" s="448">
        <v>1326</v>
      </c>
      <c r="F177" s="343">
        <v>1322</v>
      </c>
      <c r="G177" s="343">
        <v>1321.3</v>
      </c>
      <c r="H177" s="343">
        <f t="shared" si="5"/>
        <v>99.94704992435703</v>
      </c>
    </row>
    <row r="178" spans="1:8" ht="12.75">
      <c r="A178" s="337"/>
      <c r="B178" s="337"/>
      <c r="C178" s="341">
        <v>4430</v>
      </c>
      <c r="D178" s="342" t="s">
        <v>3</v>
      </c>
      <c r="E178" s="448">
        <v>1159</v>
      </c>
      <c r="F178" s="343">
        <v>1242</v>
      </c>
      <c r="G178" s="343">
        <v>1242</v>
      </c>
      <c r="H178" s="343">
        <f t="shared" si="5"/>
        <v>100</v>
      </c>
    </row>
    <row r="179" spans="1:8" ht="12.75">
      <c r="A179" s="337"/>
      <c r="B179" s="337"/>
      <c r="C179" s="345">
        <v>4440</v>
      </c>
      <c r="D179" s="346" t="s">
        <v>8</v>
      </c>
      <c r="E179" s="449">
        <v>22289</v>
      </c>
      <c r="F179" s="347">
        <v>22289</v>
      </c>
      <c r="G179" s="347">
        <v>19047.98</v>
      </c>
      <c r="H179" s="347">
        <f t="shared" si="5"/>
        <v>85.45910538830813</v>
      </c>
    </row>
    <row r="180" spans="1:8" ht="26.25" thickBot="1">
      <c r="A180" s="337"/>
      <c r="B180" s="337"/>
      <c r="C180" s="345">
        <v>4700</v>
      </c>
      <c r="D180" s="346" t="s">
        <v>406</v>
      </c>
      <c r="E180" s="449">
        <v>964</v>
      </c>
      <c r="F180" s="347">
        <v>1785</v>
      </c>
      <c r="G180" s="347">
        <v>1785</v>
      </c>
      <c r="H180" s="347">
        <f t="shared" si="5"/>
        <v>100</v>
      </c>
    </row>
    <row r="181" spans="1:8" ht="13.5" thickBot="1">
      <c r="A181" s="337"/>
      <c r="B181" s="330">
        <v>85446</v>
      </c>
      <c r="C181" s="330"/>
      <c r="D181" s="336" t="s">
        <v>107</v>
      </c>
      <c r="E181" s="446">
        <f>SUM(E182:E183)</f>
        <v>0</v>
      </c>
      <c r="F181" s="311">
        <f>SUM(F182:F183)</f>
        <v>3301</v>
      </c>
      <c r="G181" s="311">
        <f>SUM(G182:G183)</f>
        <v>3265.5</v>
      </c>
      <c r="H181" s="311">
        <f>G181/F181*100</f>
        <v>98.92456831263253</v>
      </c>
    </row>
    <row r="182" spans="1:8" ht="12.75">
      <c r="A182" s="337"/>
      <c r="B182" s="337"/>
      <c r="C182" s="341">
        <v>4410</v>
      </c>
      <c r="D182" s="342" t="s">
        <v>6</v>
      </c>
      <c r="E182" s="448"/>
      <c r="F182" s="343">
        <v>301</v>
      </c>
      <c r="G182" s="343">
        <v>265.5</v>
      </c>
      <c r="H182" s="343">
        <f>G182/F182*100</f>
        <v>88.20598006644518</v>
      </c>
    </row>
    <row r="183" spans="1:8" ht="26.25" thickBot="1">
      <c r="A183" s="337"/>
      <c r="B183" s="337"/>
      <c r="C183" s="345">
        <v>4700</v>
      </c>
      <c r="D183" s="346" t="s">
        <v>406</v>
      </c>
      <c r="E183" s="449"/>
      <c r="F183" s="347">
        <v>3000</v>
      </c>
      <c r="G183" s="347">
        <v>3000</v>
      </c>
      <c r="H183" s="347">
        <f>G183/F183*100</f>
        <v>100</v>
      </c>
    </row>
    <row r="184" spans="1:8" ht="13.5" thickBot="1">
      <c r="A184" s="337"/>
      <c r="B184" s="330">
        <v>85495</v>
      </c>
      <c r="C184" s="330"/>
      <c r="D184" s="357" t="s">
        <v>2</v>
      </c>
      <c r="E184" s="446">
        <f>E185</f>
        <v>0</v>
      </c>
      <c r="F184" s="311">
        <f>F185</f>
        <v>8256</v>
      </c>
      <c r="G184" s="311">
        <f>G185</f>
        <v>8256</v>
      </c>
      <c r="H184" s="311">
        <f t="shared" si="5"/>
        <v>100</v>
      </c>
    </row>
    <row r="185" spans="1:8" ht="13.5" thickBot="1">
      <c r="A185" s="306"/>
      <c r="B185" s="306"/>
      <c r="C185" s="306">
        <v>4440</v>
      </c>
      <c r="D185" s="314" t="s">
        <v>8</v>
      </c>
      <c r="E185" s="466"/>
      <c r="F185" s="355">
        <v>8256</v>
      </c>
      <c r="G185" s="355">
        <v>8256</v>
      </c>
      <c r="H185" s="355">
        <f t="shared" si="5"/>
        <v>100</v>
      </c>
    </row>
    <row r="186" spans="1:8" ht="12.75">
      <c r="A186" s="327"/>
      <c r="B186" s="327"/>
      <c r="C186" s="327"/>
      <c r="D186" s="326"/>
      <c r="E186" s="452"/>
      <c r="F186" s="351"/>
      <c r="G186" s="351"/>
      <c r="H186" s="351"/>
    </row>
    <row r="187" spans="1:8" ht="13.5" thickBot="1">
      <c r="A187" s="327"/>
      <c r="B187" s="327"/>
      <c r="C187" s="327"/>
      <c r="D187" s="326"/>
      <c r="E187" s="452"/>
      <c r="F187" s="351"/>
      <c r="G187" s="351"/>
      <c r="H187" s="351"/>
    </row>
    <row r="188" spans="1:8" ht="19.5" thickBot="1">
      <c r="A188" s="831" t="s">
        <v>159</v>
      </c>
      <c r="B188" s="832"/>
      <c r="C188" s="832"/>
      <c r="D188" s="832"/>
      <c r="E188" s="832"/>
      <c r="F188" s="832"/>
      <c r="G188" s="833"/>
      <c r="H188" s="406"/>
    </row>
    <row r="189" spans="1:8" ht="16.5" thickBot="1">
      <c r="A189" s="359"/>
      <c r="B189" s="394"/>
      <c r="C189" s="394"/>
      <c r="D189" s="436" t="s">
        <v>10</v>
      </c>
      <c r="E189" s="458">
        <f>E190+E198+E205+E216+E220+E218+E243+E248+E211</f>
        <v>3851579</v>
      </c>
      <c r="F189" s="393">
        <f>F190+F198+F205+F216+F220+F218+F243+F248+F211</f>
        <v>3949649</v>
      </c>
      <c r="G189" s="393">
        <f>G190+G198+G205+G216+G220+G218+G243+G248+G211</f>
        <v>3881906.3600000003</v>
      </c>
      <c r="H189" s="370">
        <f aca="true" t="shared" si="6" ref="H189:H209">G189/F189*100</f>
        <v>98.28484404563545</v>
      </c>
    </row>
    <row r="190" spans="1:8" ht="13.5" thickBot="1">
      <c r="A190" s="359">
        <v>801</v>
      </c>
      <c r="B190" s="330">
        <v>80102</v>
      </c>
      <c r="C190" s="330"/>
      <c r="D190" s="336" t="s">
        <v>52</v>
      </c>
      <c r="E190" s="446">
        <f>SUM(E191:E197)</f>
        <v>1467115</v>
      </c>
      <c r="F190" s="311">
        <f>SUM(F191:F197)</f>
        <v>1454310</v>
      </c>
      <c r="G190" s="311">
        <f>SUM(G191:G197)</f>
        <v>1435662.5999999999</v>
      </c>
      <c r="H190" s="311">
        <f t="shared" si="6"/>
        <v>98.71778369123501</v>
      </c>
    </row>
    <row r="191" spans="1:8" s="348" customFormat="1" ht="12.75">
      <c r="A191" s="337"/>
      <c r="B191" s="337"/>
      <c r="C191" s="341">
        <v>4010</v>
      </c>
      <c r="D191" s="342" t="s">
        <v>0</v>
      </c>
      <c r="E191" s="448">
        <v>1075602</v>
      </c>
      <c r="F191" s="343">
        <v>1075602</v>
      </c>
      <c r="G191" s="343">
        <v>1075601.99</v>
      </c>
      <c r="H191" s="343">
        <f t="shared" si="6"/>
        <v>99.99999907028808</v>
      </c>
    </row>
    <row r="192" spans="1:8" ht="12.75">
      <c r="A192" s="337"/>
      <c r="B192" s="337"/>
      <c r="C192" s="341">
        <v>4040</v>
      </c>
      <c r="D192" s="342" t="s">
        <v>5</v>
      </c>
      <c r="E192" s="448">
        <v>102063</v>
      </c>
      <c r="F192" s="343">
        <v>82755</v>
      </c>
      <c r="G192" s="343">
        <v>81306.12</v>
      </c>
      <c r="H192" s="343">
        <f t="shared" si="6"/>
        <v>98.24919340221135</v>
      </c>
    </row>
    <row r="193" spans="1:8" ht="12.75">
      <c r="A193" s="337"/>
      <c r="B193" s="337"/>
      <c r="C193" s="341">
        <v>4110</v>
      </c>
      <c r="D193" s="342" t="s">
        <v>7</v>
      </c>
      <c r="E193" s="448">
        <v>204419</v>
      </c>
      <c r="F193" s="343">
        <v>204419</v>
      </c>
      <c r="G193" s="343">
        <v>197460.71</v>
      </c>
      <c r="H193" s="343">
        <f t="shared" si="6"/>
        <v>96.59606494503934</v>
      </c>
    </row>
    <row r="194" spans="1:8" ht="12.75">
      <c r="A194" s="337"/>
      <c r="B194" s="337"/>
      <c r="C194" s="341">
        <v>4120</v>
      </c>
      <c r="D194" s="342" t="s">
        <v>1</v>
      </c>
      <c r="E194" s="448">
        <v>28685</v>
      </c>
      <c r="F194" s="343">
        <v>27446</v>
      </c>
      <c r="G194" s="343">
        <v>24362.34</v>
      </c>
      <c r="H194" s="343">
        <f t="shared" si="6"/>
        <v>88.76462872549735</v>
      </c>
    </row>
    <row r="195" spans="1:8" ht="12.75">
      <c r="A195" s="337"/>
      <c r="B195" s="337"/>
      <c r="C195" s="341">
        <v>4170</v>
      </c>
      <c r="D195" s="342" t="s">
        <v>102</v>
      </c>
      <c r="E195" s="448">
        <v>9000</v>
      </c>
      <c r="F195" s="343">
        <v>9000</v>
      </c>
      <c r="G195" s="343">
        <v>3770</v>
      </c>
      <c r="H195" s="343">
        <f t="shared" si="6"/>
        <v>41.888888888888886</v>
      </c>
    </row>
    <row r="196" spans="1:8" ht="12.75">
      <c r="A196" s="337"/>
      <c r="B196" s="337"/>
      <c r="C196" s="341">
        <v>4240</v>
      </c>
      <c r="D196" s="342" t="s">
        <v>53</v>
      </c>
      <c r="E196" s="449"/>
      <c r="F196" s="347">
        <v>5207</v>
      </c>
      <c r="G196" s="347">
        <v>3281.4</v>
      </c>
      <c r="H196" s="347">
        <f t="shared" si="6"/>
        <v>63.01901286729403</v>
      </c>
    </row>
    <row r="197" spans="1:8" ht="13.5" thickBot="1">
      <c r="A197" s="337"/>
      <c r="B197" s="337"/>
      <c r="C197" s="345">
        <v>4440</v>
      </c>
      <c r="D197" s="346" t="s">
        <v>8</v>
      </c>
      <c r="E197" s="449">
        <v>47346</v>
      </c>
      <c r="F197" s="347">
        <v>49881</v>
      </c>
      <c r="G197" s="347">
        <v>49880.04</v>
      </c>
      <c r="H197" s="347">
        <f t="shared" si="6"/>
        <v>99.9980754194984</v>
      </c>
    </row>
    <row r="198" spans="1:8" ht="13.5" thickBot="1">
      <c r="A198" s="335"/>
      <c r="B198" s="330">
        <v>80111</v>
      </c>
      <c r="C198" s="330"/>
      <c r="D198" s="336" t="s">
        <v>54</v>
      </c>
      <c r="E198" s="446">
        <f>SUM(E199:E204)</f>
        <v>776898</v>
      </c>
      <c r="F198" s="311">
        <f>SUM(F199:F204)</f>
        <v>765791</v>
      </c>
      <c r="G198" s="311">
        <f>SUM(G199:G204)</f>
        <v>750924.9999999999</v>
      </c>
      <c r="H198" s="311">
        <f t="shared" si="6"/>
        <v>98.05873926436847</v>
      </c>
    </row>
    <row r="199" spans="1:8" s="348" customFormat="1" ht="12.75">
      <c r="A199" s="337"/>
      <c r="B199" s="337"/>
      <c r="C199" s="341">
        <v>4010</v>
      </c>
      <c r="D199" s="342" t="s">
        <v>0</v>
      </c>
      <c r="E199" s="448">
        <v>591719</v>
      </c>
      <c r="F199" s="343">
        <v>563939</v>
      </c>
      <c r="G199" s="343">
        <v>556784.86</v>
      </c>
      <c r="H199" s="343">
        <f t="shared" si="6"/>
        <v>98.73139825406648</v>
      </c>
    </row>
    <row r="200" spans="1:8" ht="12.75">
      <c r="A200" s="337"/>
      <c r="B200" s="337"/>
      <c r="C200" s="341">
        <v>4040</v>
      </c>
      <c r="D200" s="342" t="s">
        <v>5</v>
      </c>
      <c r="E200" s="448">
        <v>34476</v>
      </c>
      <c r="F200" s="343">
        <v>47137</v>
      </c>
      <c r="G200" s="343">
        <v>47136.1</v>
      </c>
      <c r="H200" s="343">
        <f t="shared" si="6"/>
        <v>99.99809067187135</v>
      </c>
    </row>
    <row r="201" spans="1:8" ht="12.75">
      <c r="A201" s="337"/>
      <c r="B201" s="337"/>
      <c r="C201" s="341">
        <v>4110</v>
      </c>
      <c r="D201" s="342" t="s">
        <v>7</v>
      </c>
      <c r="E201" s="448">
        <v>108643</v>
      </c>
      <c r="F201" s="343">
        <v>108643</v>
      </c>
      <c r="G201" s="343">
        <v>106087.26</v>
      </c>
      <c r="H201" s="343">
        <f t="shared" si="6"/>
        <v>97.64757968760067</v>
      </c>
    </row>
    <row r="202" spans="1:8" ht="12.75">
      <c r="A202" s="337"/>
      <c r="B202" s="337"/>
      <c r="C202" s="341">
        <v>4120</v>
      </c>
      <c r="D202" s="342" t="s">
        <v>1</v>
      </c>
      <c r="E202" s="448">
        <v>15017</v>
      </c>
      <c r="F202" s="343">
        <v>15017</v>
      </c>
      <c r="G202" s="343">
        <v>12821.26</v>
      </c>
      <c r="H202" s="343">
        <f t="shared" si="6"/>
        <v>85.37830458813345</v>
      </c>
    </row>
    <row r="203" spans="1:8" ht="12.75">
      <c r="A203" s="337"/>
      <c r="B203" s="337"/>
      <c r="C203" s="341">
        <v>4240</v>
      </c>
      <c r="D203" s="342" t="s">
        <v>53</v>
      </c>
      <c r="E203" s="449"/>
      <c r="F203" s="347">
        <v>4012</v>
      </c>
      <c r="G203" s="347">
        <v>1657.95</v>
      </c>
      <c r="H203" s="347">
        <f t="shared" si="6"/>
        <v>41.324775672981055</v>
      </c>
    </row>
    <row r="204" spans="1:8" ht="13.5" thickBot="1">
      <c r="A204" s="337"/>
      <c r="B204" s="337"/>
      <c r="C204" s="345">
        <v>4440</v>
      </c>
      <c r="D204" s="346" t="s">
        <v>8</v>
      </c>
      <c r="E204" s="449">
        <v>27043</v>
      </c>
      <c r="F204" s="347">
        <v>27043</v>
      </c>
      <c r="G204" s="347">
        <v>26437.57</v>
      </c>
      <c r="H204" s="347">
        <f t="shared" si="6"/>
        <v>97.76123211182191</v>
      </c>
    </row>
    <row r="205" spans="1:8" ht="13.5" thickBot="1">
      <c r="A205" s="335"/>
      <c r="B205" s="330">
        <v>80134</v>
      </c>
      <c r="C205" s="330"/>
      <c r="D205" s="336" t="s">
        <v>9</v>
      </c>
      <c r="E205" s="446">
        <f>SUM(E206:E210)</f>
        <v>351519</v>
      </c>
      <c r="F205" s="311">
        <f>SUM(F206:F210)</f>
        <v>373946</v>
      </c>
      <c r="G205" s="311">
        <f>SUM(G206:G210)</f>
        <v>370079.81999999995</v>
      </c>
      <c r="H205" s="311">
        <f t="shared" si="6"/>
        <v>98.96611275424793</v>
      </c>
    </row>
    <row r="206" spans="1:8" s="348" customFormat="1" ht="12.75">
      <c r="A206" s="337"/>
      <c r="B206" s="337"/>
      <c r="C206" s="338">
        <v>4010</v>
      </c>
      <c r="D206" s="339" t="s">
        <v>0</v>
      </c>
      <c r="E206" s="447">
        <v>265863</v>
      </c>
      <c r="F206" s="340">
        <v>280863</v>
      </c>
      <c r="G206" s="340">
        <v>277230.11</v>
      </c>
      <c r="H206" s="340">
        <f t="shared" si="6"/>
        <v>98.70652595749529</v>
      </c>
    </row>
    <row r="207" spans="1:8" ht="12.75">
      <c r="A207" s="337"/>
      <c r="B207" s="337"/>
      <c r="C207" s="341">
        <v>4040</v>
      </c>
      <c r="D207" s="342" t="s">
        <v>5</v>
      </c>
      <c r="E207" s="448">
        <v>16782</v>
      </c>
      <c r="F207" s="343">
        <v>23429</v>
      </c>
      <c r="G207" s="343">
        <v>23428.54</v>
      </c>
      <c r="H207" s="343">
        <f t="shared" si="6"/>
        <v>99.99803662128132</v>
      </c>
    </row>
    <row r="208" spans="1:8" ht="12.75">
      <c r="A208" s="337"/>
      <c r="B208" s="337"/>
      <c r="C208" s="341">
        <v>4110</v>
      </c>
      <c r="D208" s="342" t="s">
        <v>7</v>
      </c>
      <c r="E208" s="448">
        <v>50341</v>
      </c>
      <c r="F208" s="343">
        <v>50341</v>
      </c>
      <c r="G208" s="343">
        <v>50308.79</v>
      </c>
      <c r="H208" s="343">
        <f t="shared" si="6"/>
        <v>99.93601636836773</v>
      </c>
    </row>
    <row r="209" spans="1:8" ht="12.75">
      <c r="A209" s="337"/>
      <c r="B209" s="337"/>
      <c r="C209" s="341">
        <v>4120</v>
      </c>
      <c r="D209" s="342" t="s">
        <v>1</v>
      </c>
      <c r="E209" s="448">
        <v>7013</v>
      </c>
      <c r="F209" s="343">
        <v>7793</v>
      </c>
      <c r="G209" s="343">
        <v>7592.74</v>
      </c>
      <c r="H209" s="343">
        <f t="shared" si="6"/>
        <v>97.43025792377775</v>
      </c>
    </row>
    <row r="210" spans="1:8" ht="13.5" thickBot="1">
      <c r="A210" s="337"/>
      <c r="B210" s="337"/>
      <c r="C210" s="345">
        <v>4440</v>
      </c>
      <c r="D210" s="346" t="s">
        <v>8</v>
      </c>
      <c r="E210" s="449">
        <v>11520</v>
      </c>
      <c r="F210" s="347">
        <v>11520</v>
      </c>
      <c r="G210" s="347">
        <v>11519.64</v>
      </c>
      <c r="H210" s="347">
        <f aca="true" t="shared" si="7" ref="H210:H215">G210/F210*100</f>
        <v>99.996875</v>
      </c>
    </row>
    <row r="211" spans="1:8" ht="13.5" thickBot="1">
      <c r="A211" s="337"/>
      <c r="B211" s="330">
        <v>80146</v>
      </c>
      <c r="C211" s="356"/>
      <c r="D211" s="357" t="s">
        <v>107</v>
      </c>
      <c r="E211" s="446">
        <f>SUM(E212:E215)</f>
        <v>0</v>
      </c>
      <c r="F211" s="311">
        <f>SUM(F212:F215)</f>
        <v>23503</v>
      </c>
      <c r="G211" s="311">
        <f>SUM(G212:G215)</f>
        <v>4705.73</v>
      </c>
      <c r="H211" s="311">
        <f t="shared" si="7"/>
        <v>20.021827000808408</v>
      </c>
    </row>
    <row r="212" spans="1:8" ht="12.75">
      <c r="A212" s="337"/>
      <c r="B212" s="394"/>
      <c r="C212" s="341">
        <v>4210</v>
      </c>
      <c r="D212" s="342" t="s">
        <v>44</v>
      </c>
      <c r="E212" s="448"/>
      <c r="F212" s="343">
        <v>1378</v>
      </c>
      <c r="G212" s="343">
        <v>430.01</v>
      </c>
      <c r="H212" s="343">
        <f t="shared" si="7"/>
        <v>31.205370101596515</v>
      </c>
    </row>
    <row r="213" spans="1:8" ht="12.75">
      <c r="A213" s="337"/>
      <c r="B213" s="337"/>
      <c r="C213" s="341">
        <v>4300</v>
      </c>
      <c r="D213" s="342" t="s">
        <v>43</v>
      </c>
      <c r="E213" s="448"/>
      <c r="F213" s="343">
        <v>16125</v>
      </c>
      <c r="G213" s="343">
        <v>374</v>
      </c>
      <c r="H213" s="343">
        <f t="shared" si="7"/>
        <v>2.3193798449612406</v>
      </c>
    </row>
    <row r="214" spans="1:8" ht="12.75">
      <c r="A214" s="337"/>
      <c r="B214" s="337"/>
      <c r="C214" s="341">
        <v>4410</v>
      </c>
      <c r="D214" s="342" t="s">
        <v>6</v>
      </c>
      <c r="E214" s="448"/>
      <c r="F214" s="343">
        <v>4000</v>
      </c>
      <c r="G214" s="343">
        <v>2046.72</v>
      </c>
      <c r="H214" s="343">
        <f t="shared" si="7"/>
        <v>51.168</v>
      </c>
    </row>
    <row r="215" spans="1:8" ht="26.25" thickBot="1">
      <c r="A215" s="337"/>
      <c r="B215" s="337"/>
      <c r="C215" s="345">
        <v>4700</v>
      </c>
      <c r="D215" s="352" t="s">
        <v>406</v>
      </c>
      <c r="E215" s="449"/>
      <c r="F215" s="347">
        <v>2000</v>
      </c>
      <c r="G215" s="352">
        <v>1855</v>
      </c>
      <c r="H215" s="347">
        <f t="shared" si="7"/>
        <v>92.75</v>
      </c>
    </row>
    <row r="216" spans="1:8" ht="13.5" thickBot="1">
      <c r="A216" s="337"/>
      <c r="B216" s="330">
        <v>80195</v>
      </c>
      <c r="C216" s="330"/>
      <c r="D216" s="357" t="s">
        <v>2</v>
      </c>
      <c r="E216" s="446">
        <f>E217</f>
        <v>0</v>
      </c>
      <c r="F216" s="311">
        <f>F217</f>
        <v>23872</v>
      </c>
      <c r="G216" s="311">
        <f>G217</f>
        <v>23871.85</v>
      </c>
      <c r="H216" s="311">
        <f>G216/F216*100</f>
        <v>99.99937164879356</v>
      </c>
    </row>
    <row r="217" spans="1:8" ht="13.5" thickBot="1">
      <c r="A217" s="306"/>
      <c r="B217" s="306"/>
      <c r="C217" s="306">
        <v>4440</v>
      </c>
      <c r="D217" s="314" t="s">
        <v>8</v>
      </c>
      <c r="E217" s="466"/>
      <c r="F217" s="355">
        <v>23872</v>
      </c>
      <c r="G217" s="355">
        <v>23871.85</v>
      </c>
      <c r="H217" s="355">
        <f>G217/F217*100</f>
        <v>99.99937164879356</v>
      </c>
    </row>
    <row r="218" spans="1:8" ht="39" thickBot="1">
      <c r="A218" s="359">
        <v>851</v>
      </c>
      <c r="B218" s="359">
        <v>85156</v>
      </c>
      <c r="C218" s="394"/>
      <c r="D218" s="437" t="s">
        <v>597</v>
      </c>
      <c r="E218" s="455">
        <f>E219</f>
        <v>562</v>
      </c>
      <c r="F218" s="312">
        <f>F219</f>
        <v>562</v>
      </c>
      <c r="G218" s="312">
        <f>G219</f>
        <v>561.6</v>
      </c>
      <c r="H218" s="312">
        <f>G218/F218*100</f>
        <v>99.9288256227758</v>
      </c>
    </row>
    <row r="219" spans="1:8" ht="13.5" thickBot="1">
      <c r="A219" s="306"/>
      <c r="B219" s="356"/>
      <c r="C219" s="356">
        <v>4130</v>
      </c>
      <c r="D219" s="438" t="s">
        <v>160</v>
      </c>
      <c r="E219" s="451">
        <v>562</v>
      </c>
      <c r="F219" s="362">
        <v>562</v>
      </c>
      <c r="G219" s="362">
        <v>561.6</v>
      </c>
      <c r="H219" s="362">
        <f aca="true" t="shared" si="8" ref="H219:H242">G219/F219*100</f>
        <v>99.9288256227758</v>
      </c>
    </row>
    <row r="220" spans="1:8" ht="13.5" thickBot="1">
      <c r="A220" s="359">
        <v>854</v>
      </c>
      <c r="B220" s="330">
        <v>85403</v>
      </c>
      <c r="C220" s="330"/>
      <c r="D220" s="336" t="s">
        <v>61</v>
      </c>
      <c r="E220" s="446">
        <f>SUM(E221:E242)</f>
        <v>1255485</v>
      </c>
      <c r="F220" s="311">
        <f>SUM(F221:F242)</f>
        <v>1307665</v>
      </c>
      <c r="G220" s="311">
        <f>SUM(G221:G242)</f>
        <v>1296099.7600000005</v>
      </c>
      <c r="H220" s="311">
        <f t="shared" si="8"/>
        <v>99.11558082536433</v>
      </c>
    </row>
    <row r="221" spans="1:8" s="348" customFormat="1" ht="12.75">
      <c r="A221" s="337"/>
      <c r="B221" s="337"/>
      <c r="C221" s="341">
        <v>3020</v>
      </c>
      <c r="D221" s="339" t="s">
        <v>101</v>
      </c>
      <c r="E221" s="447">
        <v>5700</v>
      </c>
      <c r="F221" s="340">
        <v>8430</v>
      </c>
      <c r="G221" s="340">
        <v>7329.99</v>
      </c>
      <c r="H221" s="340">
        <f t="shared" si="8"/>
        <v>86.95124555160142</v>
      </c>
    </row>
    <row r="222" spans="1:8" ht="12.75">
      <c r="A222" s="337"/>
      <c r="B222" s="337"/>
      <c r="C222" s="341">
        <v>4010</v>
      </c>
      <c r="D222" s="342" t="s">
        <v>0</v>
      </c>
      <c r="E222" s="448">
        <v>760620</v>
      </c>
      <c r="F222" s="343">
        <v>772620</v>
      </c>
      <c r="G222" s="343">
        <v>769937.43</v>
      </c>
      <c r="H222" s="343">
        <f t="shared" si="8"/>
        <v>99.65279568222412</v>
      </c>
    </row>
    <row r="223" spans="1:8" ht="12.75">
      <c r="A223" s="337"/>
      <c r="B223" s="337"/>
      <c r="C223" s="341">
        <v>4040</v>
      </c>
      <c r="D223" s="342" t="s">
        <v>5</v>
      </c>
      <c r="E223" s="448">
        <v>61532</v>
      </c>
      <c r="F223" s="343">
        <v>61532</v>
      </c>
      <c r="G223" s="343">
        <v>60561.73</v>
      </c>
      <c r="H223" s="343">
        <f t="shared" si="8"/>
        <v>98.42314568029643</v>
      </c>
    </row>
    <row r="224" spans="1:8" ht="12.75">
      <c r="A224" s="337"/>
      <c r="B224" s="337"/>
      <c r="C224" s="341">
        <v>4110</v>
      </c>
      <c r="D224" s="342" t="s">
        <v>7</v>
      </c>
      <c r="E224" s="448">
        <v>140175</v>
      </c>
      <c r="F224" s="343">
        <v>143975</v>
      </c>
      <c r="G224" s="343">
        <v>143666.09</v>
      </c>
      <c r="H224" s="343">
        <f t="shared" si="8"/>
        <v>99.78544191699947</v>
      </c>
    </row>
    <row r="225" spans="1:8" ht="12.75">
      <c r="A225" s="337"/>
      <c r="B225" s="337"/>
      <c r="C225" s="341">
        <v>4120</v>
      </c>
      <c r="D225" s="342" t="s">
        <v>1</v>
      </c>
      <c r="E225" s="448">
        <v>19634</v>
      </c>
      <c r="F225" s="343">
        <v>13990</v>
      </c>
      <c r="G225" s="343">
        <v>13989.51</v>
      </c>
      <c r="H225" s="343">
        <f t="shared" si="8"/>
        <v>99.99649749821302</v>
      </c>
    </row>
    <row r="226" spans="1:8" ht="12.75">
      <c r="A226" s="337"/>
      <c r="B226" s="337"/>
      <c r="C226" s="341">
        <v>4210</v>
      </c>
      <c r="D226" s="342" t="s">
        <v>44</v>
      </c>
      <c r="E226" s="448">
        <v>20000</v>
      </c>
      <c r="F226" s="343">
        <v>61900</v>
      </c>
      <c r="G226" s="343">
        <v>61900</v>
      </c>
      <c r="H226" s="343">
        <f t="shared" si="8"/>
        <v>100</v>
      </c>
    </row>
    <row r="227" spans="1:8" ht="12.75">
      <c r="A227" s="337"/>
      <c r="B227" s="337"/>
      <c r="C227" s="341">
        <v>4220</v>
      </c>
      <c r="D227" s="342" t="s">
        <v>62</v>
      </c>
      <c r="E227" s="448">
        <v>42500</v>
      </c>
      <c r="F227" s="343">
        <v>42500</v>
      </c>
      <c r="G227" s="343">
        <v>36012.36</v>
      </c>
      <c r="H227" s="343">
        <f t="shared" si="8"/>
        <v>84.73496470588235</v>
      </c>
    </row>
    <row r="228" spans="1:8" ht="12.75">
      <c r="A228" s="337"/>
      <c r="B228" s="337"/>
      <c r="C228" s="341">
        <v>4240</v>
      </c>
      <c r="D228" s="342" t="s">
        <v>53</v>
      </c>
      <c r="E228" s="448">
        <v>4300</v>
      </c>
      <c r="F228" s="343">
        <v>6300</v>
      </c>
      <c r="G228" s="343">
        <v>6296.62</v>
      </c>
      <c r="H228" s="343">
        <f t="shared" si="8"/>
        <v>99.94634920634921</v>
      </c>
    </row>
    <row r="229" spans="1:8" ht="12.75">
      <c r="A229" s="337"/>
      <c r="B229" s="337"/>
      <c r="C229" s="341">
        <v>4260</v>
      </c>
      <c r="D229" s="342" t="s">
        <v>45</v>
      </c>
      <c r="E229" s="448">
        <v>71600</v>
      </c>
      <c r="F229" s="343">
        <v>63243</v>
      </c>
      <c r="G229" s="343">
        <v>63242.34</v>
      </c>
      <c r="H229" s="343">
        <f t="shared" si="8"/>
        <v>99.99895640624258</v>
      </c>
    </row>
    <row r="230" spans="1:8" ht="12.75">
      <c r="A230" s="337"/>
      <c r="B230" s="337"/>
      <c r="C230" s="341">
        <v>4270</v>
      </c>
      <c r="D230" s="378" t="s">
        <v>46</v>
      </c>
      <c r="E230" s="448">
        <v>27916</v>
      </c>
      <c r="F230" s="343">
        <v>23836</v>
      </c>
      <c r="G230" s="343">
        <v>23835.69</v>
      </c>
      <c r="H230" s="343">
        <f t="shared" si="8"/>
        <v>99.9986994462158</v>
      </c>
    </row>
    <row r="231" spans="1:8" ht="12.75">
      <c r="A231" s="337"/>
      <c r="B231" s="337"/>
      <c r="C231" s="341">
        <v>4280</v>
      </c>
      <c r="D231" s="378" t="s">
        <v>75</v>
      </c>
      <c r="E231" s="448">
        <v>3000</v>
      </c>
      <c r="F231" s="343">
        <v>3000</v>
      </c>
      <c r="G231" s="343">
        <v>3000</v>
      </c>
      <c r="H231" s="343">
        <f t="shared" si="8"/>
        <v>100</v>
      </c>
    </row>
    <row r="232" spans="1:8" ht="12.75">
      <c r="A232" s="337"/>
      <c r="B232" s="337"/>
      <c r="C232" s="341">
        <v>4300</v>
      </c>
      <c r="D232" s="342" t="s">
        <v>43</v>
      </c>
      <c r="E232" s="448">
        <v>30716</v>
      </c>
      <c r="F232" s="343">
        <v>38875</v>
      </c>
      <c r="G232" s="343">
        <v>38870.06</v>
      </c>
      <c r="H232" s="343">
        <f t="shared" si="8"/>
        <v>99.9872926045016</v>
      </c>
    </row>
    <row r="233" spans="1:8" ht="12.75" hidden="1">
      <c r="A233" s="337"/>
      <c r="B233" s="337"/>
      <c r="C233" s="341">
        <v>4350</v>
      </c>
      <c r="D233" s="349" t="s">
        <v>110</v>
      </c>
      <c r="E233" s="448">
        <v>1550</v>
      </c>
      <c r="F233" s="343"/>
      <c r="G233" s="343"/>
      <c r="H233" s="343" t="e">
        <f t="shared" si="8"/>
        <v>#DIV/0!</v>
      </c>
    </row>
    <row r="234" spans="1:8" ht="12.75">
      <c r="A234" s="337"/>
      <c r="B234" s="337"/>
      <c r="C234" s="624">
        <v>4360</v>
      </c>
      <c r="D234" s="625" t="s">
        <v>612</v>
      </c>
      <c r="E234" s="449">
        <v>2700</v>
      </c>
      <c r="F234" s="347">
        <v>6608</v>
      </c>
      <c r="G234" s="347">
        <v>6607.03</v>
      </c>
      <c r="H234" s="347">
        <f>G234/F234*100</f>
        <v>99.98532082324455</v>
      </c>
    </row>
    <row r="235" spans="1:8" ht="38.25" hidden="1">
      <c r="A235" s="337"/>
      <c r="B235" s="337"/>
      <c r="C235" s="345">
        <v>4370</v>
      </c>
      <c r="D235" s="350" t="s">
        <v>598</v>
      </c>
      <c r="E235" s="449">
        <v>4200</v>
      </c>
      <c r="F235" s="347"/>
      <c r="G235" s="347"/>
      <c r="H235" s="347" t="e">
        <f t="shared" si="8"/>
        <v>#DIV/0!</v>
      </c>
    </row>
    <row r="236" spans="1:8" ht="12.75">
      <c r="A236" s="337"/>
      <c r="B236" s="337"/>
      <c r="C236" s="341">
        <v>4410</v>
      </c>
      <c r="D236" s="342" t="s">
        <v>6</v>
      </c>
      <c r="E236" s="448">
        <v>2213</v>
      </c>
      <c r="F236" s="343">
        <v>967</v>
      </c>
      <c r="G236" s="343">
        <v>966.28</v>
      </c>
      <c r="H236" s="343">
        <f t="shared" si="8"/>
        <v>99.92554291623577</v>
      </c>
    </row>
    <row r="237" spans="1:8" ht="12.75">
      <c r="A237" s="337"/>
      <c r="B237" s="337"/>
      <c r="C237" s="341">
        <v>4430</v>
      </c>
      <c r="D237" s="346" t="s">
        <v>3</v>
      </c>
      <c r="E237" s="448">
        <v>4788</v>
      </c>
      <c r="F237" s="343">
        <v>4170</v>
      </c>
      <c r="G237" s="343">
        <v>4169.26</v>
      </c>
      <c r="H237" s="343">
        <f t="shared" si="8"/>
        <v>99.9822541966427</v>
      </c>
    </row>
    <row r="238" spans="1:8" ht="12.75">
      <c r="A238" s="337"/>
      <c r="B238" s="337"/>
      <c r="C238" s="341">
        <v>4440</v>
      </c>
      <c r="D238" s="342" t="s">
        <v>8</v>
      </c>
      <c r="E238" s="448">
        <v>37953</v>
      </c>
      <c r="F238" s="343">
        <v>39526</v>
      </c>
      <c r="G238" s="343">
        <v>39525.37</v>
      </c>
      <c r="H238" s="343">
        <f t="shared" si="8"/>
        <v>99.99840611243232</v>
      </c>
    </row>
    <row r="239" spans="1:8" ht="12.75">
      <c r="A239" s="337"/>
      <c r="B239" s="337"/>
      <c r="C239" s="345">
        <v>4480</v>
      </c>
      <c r="D239" s="346" t="s">
        <v>70</v>
      </c>
      <c r="E239" s="449">
        <v>100</v>
      </c>
      <c r="F239" s="347">
        <v>65</v>
      </c>
      <c r="G239" s="347">
        <v>65</v>
      </c>
      <c r="H239" s="347">
        <f t="shared" si="8"/>
        <v>100</v>
      </c>
    </row>
    <row r="240" spans="1:8" ht="25.5">
      <c r="A240" s="337"/>
      <c r="B240" s="337"/>
      <c r="C240" s="345">
        <v>4700</v>
      </c>
      <c r="D240" s="346" t="s">
        <v>406</v>
      </c>
      <c r="E240" s="449">
        <v>1288</v>
      </c>
      <c r="F240" s="347">
        <v>1288</v>
      </c>
      <c r="G240" s="347">
        <v>1285</v>
      </c>
      <c r="H240" s="347">
        <f t="shared" si="8"/>
        <v>99.76708074534162</v>
      </c>
    </row>
    <row r="241" spans="1:8" ht="12.75">
      <c r="A241" s="337"/>
      <c r="B241" s="337"/>
      <c r="C241" s="341">
        <v>6050</v>
      </c>
      <c r="D241" s="342" t="s">
        <v>47</v>
      </c>
      <c r="E241" s="448">
        <v>8000</v>
      </c>
      <c r="F241" s="343">
        <v>9840</v>
      </c>
      <c r="G241" s="343">
        <v>9840</v>
      </c>
      <c r="H241" s="347">
        <f t="shared" si="8"/>
        <v>100</v>
      </c>
    </row>
    <row r="242" spans="1:8" ht="26.25" thickBot="1">
      <c r="A242" s="306"/>
      <c r="B242" s="306"/>
      <c r="C242" s="306">
        <v>6060</v>
      </c>
      <c r="D242" s="328" t="s">
        <v>48</v>
      </c>
      <c r="E242" s="466">
        <v>5000</v>
      </c>
      <c r="F242" s="355">
        <v>5000</v>
      </c>
      <c r="G242" s="355">
        <v>5000</v>
      </c>
      <c r="H242" s="381">
        <f t="shared" si="8"/>
        <v>100</v>
      </c>
    </row>
    <row r="243" spans="1:8" ht="13.5" hidden="1" thickBot="1">
      <c r="A243" s="337"/>
      <c r="B243" s="354">
        <v>85446</v>
      </c>
      <c r="C243" s="354"/>
      <c r="D243" s="399" t="s">
        <v>107</v>
      </c>
      <c r="E243" s="477"/>
      <c r="F243" s="400">
        <f>SUM(F244:F247)</f>
        <v>0</v>
      </c>
      <c r="G243" s="400">
        <f>SUM(G244:G247)</f>
        <v>0</v>
      </c>
      <c r="H243" s="400" t="e">
        <f aca="true" t="shared" si="9" ref="H243:H249">G243/F243*100</f>
        <v>#DIV/0!</v>
      </c>
    </row>
    <row r="244" spans="1:8" ht="12.75" hidden="1">
      <c r="A244" s="337"/>
      <c r="B244" s="394"/>
      <c r="C244" s="341">
        <v>4210</v>
      </c>
      <c r="D244" s="342" t="s">
        <v>44</v>
      </c>
      <c r="E244" s="468"/>
      <c r="F244" s="347"/>
      <c r="G244" s="347"/>
      <c r="H244" s="347" t="e">
        <f t="shared" si="9"/>
        <v>#DIV/0!</v>
      </c>
    </row>
    <row r="245" spans="1:8" ht="12.75" hidden="1">
      <c r="A245" s="337"/>
      <c r="B245" s="337"/>
      <c r="C245" s="341">
        <v>4300</v>
      </c>
      <c r="D245" s="342" t="s">
        <v>43</v>
      </c>
      <c r="E245" s="468"/>
      <c r="F245" s="347"/>
      <c r="G245" s="347"/>
      <c r="H245" s="347" t="e">
        <f t="shared" si="9"/>
        <v>#DIV/0!</v>
      </c>
    </row>
    <row r="246" spans="1:8" ht="12.75" hidden="1">
      <c r="A246" s="337"/>
      <c r="B246" s="337"/>
      <c r="C246" s="341">
        <v>4410</v>
      </c>
      <c r="D246" s="346" t="s">
        <v>6</v>
      </c>
      <c r="E246" s="469"/>
      <c r="F246" s="343"/>
      <c r="G246" s="343"/>
      <c r="H246" s="343" t="e">
        <f t="shared" si="9"/>
        <v>#DIV/0!</v>
      </c>
    </row>
    <row r="247" spans="1:8" ht="26.25" hidden="1" thickBot="1">
      <c r="A247" s="337"/>
      <c r="B247" s="337"/>
      <c r="C247" s="345">
        <v>4700</v>
      </c>
      <c r="D247" s="346" t="s">
        <v>406</v>
      </c>
      <c r="E247" s="468"/>
      <c r="F247" s="347"/>
      <c r="G247" s="347"/>
      <c r="H247" s="347" t="e">
        <f t="shared" si="9"/>
        <v>#DIV/0!</v>
      </c>
    </row>
    <row r="248" spans="1:8" ht="13.5" hidden="1" thickBot="1">
      <c r="A248" s="337"/>
      <c r="B248" s="330">
        <v>85495</v>
      </c>
      <c r="C248" s="330"/>
      <c r="D248" s="409" t="s">
        <v>2</v>
      </c>
      <c r="E248" s="467"/>
      <c r="F248" s="311">
        <f>F249</f>
        <v>0</v>
      </c>
      <c r="G248" s="311">
        <f>G249</f>
        <v>0</v>
      </c>
      <c r="H248" s="311" t="e">
        <f t="shared" si="9"/>
        <v>#DIV/0!</v>
      </c>
    </row>
    <row r="249" spans="1:8" ht="13.5" hidden="1" thickBot="1">
      <c r="A249" s="306"/>
      <c r="B249" s="306"/>
      <c r="C249" s="306">
        <v>4440</v>
      </c>
      <c r="D249" s="410" t="s">
        <v>8</v>
      </c>
      <c r="E249" s="470"/>
      <c r="F249" s="355"/>
      <c r="G249" s="355"/>
      <c r="H249" s="355" t="e">
        <f t="shared" si="9"/>
        <v>#DIV/0!</v>
      </c>
    </row>
    <row r="250" spans="1:8" ht="12.75">
      <c r="A250" s="327"/>
      <c r="B250" s="327"/>
      <c r="C250" s="327"/>
      <c r="D250" s="326"/>
      <c r="E250" s="452"/>
      <c r="F250" s="351"/>
      <c r="G250" s="351"/>
      <c r="H250" s="351"/>
    </row>
    <row r="251" spans="1:8" ht="13.5" thickBot="1">
      <c r="A251" s="329"/>
      <c r="B251" s="329"/>
      <c r="C251" s="329"/>
      <c r="D251" s="328"/>
      <c r="E251" s="462"/>
      <c r="F251" s="363"/>
      <c r="G251" s="363"/>
      <c r="H251" s="351"/>
    </row>
    <row r="252" spans="1:8" ht="19.5" thickBot="1">
      <c r="A252" s="831" t="s">
        <v>161</v>
      </c>
      <c r="B252" s="832"/>
      <c r="C252" s="832"/>
      <c r="D252" s="832"/>
      <c r="E252" s="832"/>
      <c r="F252" s="832"/>
      <c r="G252" s="833"/>
      <c r="H252" s="411"/>
    </row>
    <row r="253" spans="1:8" ht="16.5" thickBot="1">
      <c r="A253" s="335"/>
      <c r="B253" s="335"/>
      <c r="C253" s="335"/>
      <c r="D253" s="369" t="s">
        <v>10</v>
      </c>
      <c r="E253" s="471">
        <f>E254+E278+E275</f>
        <v>1290132</v>
      </c>
      <c r="F253" s="412">
        <f>F254+F278+F275</f>
        <v>1309023</v>
      </c>
      <c r="G253" s="412">
        <f>G254+G278+G275</f>
        <v>1299564.3499999999</v>
      </c>
      <c r="H253" s="370">
        <f>G253/F253*100</f>
        <v>99.27742675262388</v>
      </c>
    </row>
    <row r="254" spans="1:8" s="348" customFormat="1" ht="26.25" thickBot="1">
      <c r="A254" s="359">
        <v>854</v>
      </c>
      <c r="B254" s="359">
        <v>85406</v>
      </c>
      <c r="C254" s="359"/>
      <c r="D254" s="413" t="s">
        <v>596</v>
      </c>
      <c r="E254" s="455">
        <f>SUM(E255:E273)</f>
        <v>1290132</v>
      </c>
      <c r="F254" s="312">
        <f>SUM(F255:F274)</f>
        <v>1297523</v>
      </c>
      <c r="G254" s="312">
        <f>SUM(G255:G274)</f>
        <v>1288067.15</v>
      </c>
      <c r="H254" s="312">
        <f>G254/F254*100</f>
        <v>99.27123835184423</v>
      </c>
    </row>
    <row r="255" spans="1:8" s="348" customFormat="1" ht="12.75">
      <c r="A255" s="337"/>
      <c r="B255" s="394"/>
      <c r="C255" s="439">
        <v>3020</v>
      </c>
      <c r="D255" s="440" t="s">
        <v>101</v>
      </c>
      <c r="E255" s="456">
        <v>2244</v>
      </c>
      <c r="F255" s="387">
        <v>974</v>
      </c>
      <c r="G255" s="387">
        <v>968.36</v>
      </c>
      <c r="H255" s="387">
        <f aca="true" t="shared" si="10" ref="H255:H279">G255/F255*100</f>
        <v>99.42094455852157</v>
      </c>
    </row>
    <row r="256" spans="1:8" ht="12.75">
      <c r="A256" s="337"/>
      <c r="B256" s="337"/>
      <c r="C256" s="341">
        <v>4010</v>
      </c>
      <c r="D256" s="342" t="s">
        <v>0</v>
      </c>
      <c r="E256" s="448">
        <v>913090</v>
      </c>
      <c r="F256" s="343">
        <v>907781</v>
      </c>
      <c r="G256" s="343">
        <v>906370.12</v>
      </c>
      <c r="H256" s="343">
        <f t="shared" si="10"/>
        <v>99.84457925424745</v>
      </c>
    </row>
    <row r="257" spans="1:8" ht="12.75">
      <c r="A257" s="337"/>
      <c r="B257" s="337"/>
      <c r="C257" s="341">
        <v>4040</v>
      </c>
      <c r="D257" s="342" t="s">
        <v>5</v>
      </c>
      <c r="E257" s="448">
        <v>71678</v>
      </c>
      <c r="F257" s="343">
        <v>63734</v>
      </c>
      <c r="G257" s="343">
        <v>63733.13</v>
      </c>
      <c r="H257" s="343">
        <f t="shared" si="10"/>
        <v>99.99863495151725</v>
      </c>
    </row>
    <row r="258" spans="1:8" ht="12.75">
      <c r="A258" s="337"/>
      <c r="B258" s="337"/>
      <c r="C258" s="341">
        <v>4110</v>
      </c>
      <c r="D258" s="342" t="s">
        <v>7</v>
      </c>
      <c r="E258" s="448">
        <v>163454</v>
      </c>
      <c r="F258" s="343">
        <v>163454</v>
      </c>
      <c r="G258" s="343">
        <v>162489.72</v>
      </c>
      <c r="H258" s="343">
        <f t="shared" si="10"/>
        <v>99.41006032278194</v>
      </c>
    </row>
    <row r="259" spans="1:8" ht="12.75">
      <c r="A259" s="337"/>
      <c r="B259" s="337"/>
      <c r="C259" s="341">
        <v>4120</v>
      </c>
      <c r="D259" s="342" t="s">
        <v>1</v>
      </c>
      <c r="E259" s="448">
        <v>23349</v>
      </c>
      <c r="F259" s="343">
        <v>23349</v>
      </c>
      <c r="G259" s="343">
        <v>19211.53</v>
      </c>
      <c r="H259" s="343">
        <f t="shared" si="10"/>
        <v>82.2798835067883</v>
      </c>
    </row>
    <row r="260" spans="1:8" ht="12.75">
      <c r="A260" s="337"/>
      <c r="B260" s="337"/>
      <c r="C260" s="341">
        <v>4170</v>
      </c>
      <c r="D260" s="342" t="s">
        <v>102</v>
      </c>
      <c r="E260" s="448">
        <v>7200</v>
      </c>
      <c r="F260" s="343">
        <v>6000</v>
      </c>
      <c r="G260" s="343">
        <v>5626.23</v>
      </c>
      <c r="H260" s="343">
        <f t="shared" si="10"/>
        <v>93.77049999999998</v>
      </c>
    </row>
    <row r="261" spans="1:8" ht="12.75">
      <c r="A261" s="414"/>
      <c r="B261" s="414"/>
      <c r="C261" s="341">
        <v>4210</v>
      </c>
      <c r="D261" s="342" t="s">
        <v>44</v>
      </c>
      <c r="E261" s="448">
        <v>8999</v>
      </c>
      <c r="F261" s="343">
        <v>11269</v>
      </c>
      <c r="G261" s="343">
        <v>11251.18</v>
      </c>
      <c r="H261" s="343">
        <f t="shared" si="10"/>
        <v>99.84186706895022</v>
      </c>
    </row>
    <row r="262" spans="1:8" s="152" customFormat="1" ht="12.75">
      <c r="A262" s="414"/>
      <c r="B262" s="414"/>
      <c r="C262" s="341">
        <v>4240</v>
      </c>
      <c r="D262" s="378" t="s">
        <v>53</v>
      </c>
      <c r="E262" s="448">
        <v>1625</v>
      </c>
      <c r="F262" s="343">
        <v>3125</v>
      </c>
      <c r="G262" s="343">
        <v>3074.64</v>
      </c>
      <c r="H262" s="343">
        <f t="shared" si="10"/>
        <v>98.38848</v>
      </c>
    </row>
    <row r="263" spans="1:8" s="152" customFormat="1" ht="12.75">
      <c r="A263" s="414"/>
      <c r="B263" s="414"/>
      <c r="C263" s="341">
        <v>4260</v>
      </c>
      <c r="D263" s="378" t="s">
        <v>45</v>
      </c>
      <c r="E263" s="448">
        <v>20690</v>
      </c>
      <c r="F263" s="343">
        <v>24450</v>
      </c>
      <c r="G263" s="343">
        <v>23005.95</v>
      </c>
      <c r="H263" s="343">
        <f t="shared" si="10"/>
        <v>94.09386503067485</v>
      </c>
    </row>
    <row r="264" spans="1:8" s="152" customFormat="1" ht="12.75">
      <c r="A264" s="414"/>
      <c r="B264" s="414"/>
      <c r="C264" s="341">
        <v>4270</v>
      </c>
      <c r="D264" s="378" t="s">
        <v>46</v>
      </c>
      <c r="E264" s="448">
        <v>2600</v>
      </c>
      <c r="F264" s="343">
        <v>5400</v>
      </c>
      <c r="G264" s="343">
        <v>5392.38</v>
      </c>
      <c r="H264" s="343">
        <f t="shared" si="10"/>
        <v>99.85888888888888</v>
      </c>
    </row>
    <row r="265" spans="1:8" s="152" customFormat="1" ht="12.75">
      <c r="A265" s="414"/>
      <c r="B265" s="414"/>
      <c r="C265" s="341">
        <v>4280</v>
      </c>
      <c r="D265" s="378" t="s">
        <v>75</v>
      </c>
      <c r="E265" s="448">
        <v>1445</v>
      </c>
      <c r="F265" s="343">
        <v>1445</v>
      </c>
      <c r="G265" s="343">
        <v>1389</v>
      </c>
      <c r="H265" s="343">
        <f t="shared" si="10"/>
        <v>96.12456747404843</v>
      </c>
    </row>
    <row r="266" spans="1:8" s="152" customFormat="1" ht="12.75">
      <c r="A266" s="414"/>
      <c r="B266" s="414"/>
      <c r="C266" s="345">
        <v>4300</v>
      </c>
      <c r="D266" s="415" t="s">
        <v>43</v>
      </c>
      <c r="E266" s="448">
        <v>11694</v>
      </c>
      <c r="F266" s="343">
        <v>15494</v>
      </c>
      <c r="G266" s="347">
        <v>15437.68</v>
      </c>
      <c r="H266" s="347">
        <f t="shared" si="10"/>
        <v>99.63650445333678</v>
      </c>
    </row>
    <row r="267" spans="1:8" s="152" customFormat="1" ht="12.75" hidden="1">
      <c r="A267" s="414"/>
      <c r="B267" s="414"/>
      <c r="C267" s="341">
        <v>4350</v>
      </c>
      <c r="D267" s="349" t="s">
        <v>110</v>
      </c>
      <c r="E267" s="448">
        <v>840</v>
      </c>
      <c r="F267" s="343"/>
      <c r="G267" s="347"/>
      <c r="H267" s="347" t="e">
        <f t="shared" si="10"/>
        <v>#DIV/0!</v>
      </c>
    </row>
    <row r="268" spans="1:8" s="152" customFormat="1" ht="12.75">
      <c r="A268" s="414"/>
      <c r="B268" s="414"/>
      <c r="C268" s="624">
        <v>4360</v>
      </c>
      <c r="D268" s="625" t="s">
        <v>612</v>
      </c>
      <c r="E268" s="449">
        <v>800</v>
      </c>
      <c r="F268" s="347">
        <v>5540</v>
      </c>
      <c r="G268" s="347">
        <v>5108.53</v>
      </c>
      <c r="H268" s="347">
        <f>G268/F268*100</f>
        <v>92.21173285198554</v>
      </c>
    </row>
    <row r="269" spans="1:8" s="152" customFormat="1" ht="38.25" hidden="1">
      <c r="A269" s="414"/>
      <c r="B269" s="414"/>
      <c r="C269" s="345">
        <v>4370</v>
      </c>
      <c r="D269" s="350" t="s">
        <v>598</v>
      </c>
      <c r="E269" s="449">
        <v>3900</v>
      </c>
      <c r="F269" s="347"/>
      <c r="G269" s="347"/>
      <c r="H269" s="347" t="e">
        <f t="shared" si="10"/>
        <v>#DIV/0!</v>
      </c>
    </row>
    <row r="270" spans="1:8" s="152" customFormat="1" ht="12.75">
      <c r="A270" s="337"/>
      <c r="B270" s="337"/>
      <c r="C270" s="341">
        <v>4410</v>
      </c>
      <c r="D270" s="342" t="s">
        <v>6</v>
      </c>
      <c r="E270" s="448">
        <v>3774</v>
      </c>
      <c r="F270" s="343">
        <v>5474</v>
      </c>
      <c r="G270" s="343">
        <v>5400.6</v>
      </c>
      <c r="H270" s="343">
        <f t="shared" si="10"/>
        <v>98.65911582024115</v>
      </c>
    </row>
    <row r="271" spans="1:8" s="152" customFormat="1" ht="12.75">
      <c r="A271" s="337"/>
      <c r="B271" s="337"/>
      <c r="C271" s="341">
        <v>4430</v>
      </c>
      <c r="D271" s="346" t="s">
        <v>3</v>
      </c>
      <c r="E271" s="448">
        <v>1628</v>
      </c>
      <c r="F271" s="343">
        <v>2228</v>
      </c>
      <c r="G271" s="343">
        <v>2175.6</v>
      </c>
      <c r="H271" s="343">
        <f t="shared" si="10"/>
        <v>97.64811490125673</v>
      </c>
    </row>
    <row r="272" spans="1:8" ht="12.75">
      <c r="A272" s="337"/>
      <c r="B272" s="337"/>
      <c r="C272" s="341">
        <v>4440</v>
      </c>
      <c r="D272" s="342" t="s">
        <v>8</v>
      </c>
      <c r="E272" s="448">
        <v>50000</v>
      </c>
      <c r="F272" s="343">
        <v>52184</v>
      </c>
      <c r="G272" s="343">
        <v>52184</v>
      </c>
      <c r="H272" s="343">
        <f t="shared" si="10"/>
        <v>100</v>
      </c>
    </row>
    <row r="273" spans="1:8" ht="25.5">
      <c r="A273" s="337"/>
      <c r="B273" s="337"/>
      <c r="C273" s="345">
        <v>4700</v>
      </c>
      <c r="D273" s="352" t="s">
        <v>406</v>
      </c>
      <c r="E273" s="449">
        <v>1122</v>
      </c>
      <c r="F273" s="347">
        <v>1122</v>
      </c>
      <c r="G273" s="347">
        <v>1005</v>
      </c>
      <c r="H273" s="347">
        <f t="shared" si="10"/>
        <v>89.57219251336899</v>
      </c>
    </row>
    <row r="274" spans="1:8" ht="12.75" customHeight="1" thickBot="1">
      <c r="A274" s="337"/>
      <c r="B274" s="337"/>
      <c r="C274" s="396">
        <v>6060</v>
      </c>
      <c r="D274" s="382" t="s">
        <v>48</v>
      </c>
      <c r="E274" s="454"/>
      <c r="F274" s="381">
        <v>4500</v>
      </c>
      <c r="G274" s="381">
        <v>4243.5</v>
      </c>
      <c r="H274" s="347">
        <f t="shared" si="10"/>
        <v>94.3</v>
      </c>
    </row>
    <row r="275" spans="1:8" ht="13.5" thickBot="1">
      <c r="A275" s="335"/>
      <c r="B275" s="330">
        <v>85446</v>
      </c>
      <c r="C275" s="330"/>
      <c r="D275" s="336" t="s">
        <v>107</v>
      </c>
      <c r="E275" s="446">
        <f>SUM(E276:E277)</f>
        <v>0</v>
      </c>
      <c r="F275" s="311">
        <f>SUM(F276:F277)</f>
        <v>7807</v>
      </c>
      <c r="G275" s="311">
        <f>SUM(G276:G277)</f>
        <v>7804.2</v>
      </c>
      <c r="H275" s="311">
        <f t="shared" si="10"/>
        <v>99.9641347508646</v>
      </c>
    </row>
    <row r="276" spans="1:8" s="348" customFormat="1" ht="12.75">
      <c r="A276" s="337"/>
      <c r="B276" s="394"/>
      <c r="C276" s="394">
        <v>4410</v>
      </c>
      <c r="D276" s="416" t="s">
        <v>6</v>
      </c>
      <c r="E276" s="460"/>
      <c r="F276" s="380">
        <v>547</v>
      </c>
      <c r="G276" s="380">
        <v>544.2</v>
      </c>
      <c r="H276" s="380">
        <f t="shared" si="10"/>
        <v>99.48811700182816</v>
      </c>
    </row>
    <row r="277" spans="1:8" s="348" customFormat="1" ht="26.25" thickBot="1">
      <c r="A277" s="337"/>
      <c r="B277" s="337"/>
      <c r="C277" s="345">
        <v>4700</v>
      </c>
      <c r="D277" s="352" t="s">
        <v>406</v>
      </c>
      <c r="E277" s="449"/>
      <c r="F277" s="347">
        <v>7260</v>
      </c>
      <c r="G277" s="347">
        <v>7260</v>
      </c>
      <c r="H277" s="347">
        <f>G277/F277*100</f>
        <v>100</v>
      </c>
    </row>
    <row r="278" spans="1:8" ht="13.5" thickBot="1">
      <c r="A278" s="337"/>
      <c r="B278" s="330">
        <v>85495</v>
      </c>
      <c r="C278" s="330"/>
      <c r="D278" s="357" t="s">
        <v>2</v>
      </c>
      <c r="E278" s="446">
        <f>E279</f>
        <v>0</v>
      </c>
      <c r="F278" s="311">
        <f>F279</f>
        <v>3693</v>
      </c>
      <c r="G278" s="311">
        <f>G279</f>
        <v>3693</v>
      </c>
      <c r="H278" s="311">
        <f t="shared" si="10"/>
        <v>100</v>
      </c>
    </row>
    <row r="279" spans="1:8" ht="13.5" thickBot="1">
      <c r="A279" s="306"/>
      <c r="B279" s="306"/>
      <c r="C279" s="306">
        <v>4440</v>
      </c>
      <c r="D279" s="314" t="s">
        <v>8</v>
      </c>
      <c r="E279" s="466"/>
      <c r="F279" s="355">
        <v>3693</v>
      </c>
      <c r="G279" s="355">
        <v>3693</v>
      </c>
      <c r="H279" s="355">
        <f t="shared" si="10"/>
        <v>100</v>
      </c>
    </row>
    <row r="280" spans="1:8" ht="12.75">
      <c r="A280" s="390"/>
      <c r="B280" s="390"/>
      <c r="C280" s="390"/>
      <c r="D280" s="391"/>
      <c r="E280" s="457"/>
      <c r="F280" s="388"/>
      <c r="G280" s="388"/>
      <c r="H280" s="351"/>
    </row>
    <row r="281" spans="1:8" ht="21" thickBot="1">
      <c r="A281" s="327"/>
      <c r="B281" s="327"/>
      <c r="C281" s="327"/>
      <c r="D281" s="326"/>
      <c r="E281" s="452"/>
      <c r="F281" s="417"/>
      <c r="G281" s="418"/>
      <c r="H281" s="351"/>
    </row>
    <row r="282" spans="1:7" ht="19.5" thickBot="1">
      <c r="A282" s="831" t="s">
        <v>162</v>
      </c>
      <c r="B282" s="832"/>
      <c r="C282" s="832"/>
      <c r="D282" s="832"/>
      <c r="E282" s="832"/>
      <c r="F282" s="832"/>
      <c r="G282" s="833"/>
    </row>
    <row r="283" spans="1:8" ht="16.5" thickBot="1">
      <c r="A283" s="330"/>
      <c r="B283" s="356"/>
      <c r="C283" s="356"/>
      <c r="D283" s="332" t="s">
        <v>10</v>
      </c>
      <c r="E283" s="473">
        <f>E323+E327+E284+E307</f>
        <v>3342330</v>
      </c>
      <c r="F283" s="419">
        <f>F323+F327+F284+F307+F311+F325</f>
        <v>3415931</v>
      </c>
      <c r="G283" s="419">
        <f>G323+G327+G284+G307+G311+G325</f>
        <v>3309353.38</v>
      </c>
      <c r="H283" s="333">
        <f aca="true" t="shared" si="11" ref="H283:H306">G283/F283*100</f>
        <v>96.8799832315114</v>
      </c>
    </row>
    <row r="284" spans="1:8" ht="13.5" thickBot="1">
      <c r="A284" s="359">
        <v>801</v>
      </c>
      <c r="B284" s="330">
        <v>80130</v>
      </c>
      <c r="C284" s="330"/>
      <c r="D284" s="336" t="s">
        <v>154</v>
      </c>
      <c r="E284" s="446">
        <f>SUM(E285:E305)</f>
        <v>3342330</v>
      </c>
      <c r="F284" s="311">
        <f>SUM(F285:F306)</f>
        <v>3255114</v>
      </c>
      <c r="G284" s="311">
        <f>SUM(G285:G306)</f>
        <v>3154651.28</v>
      </c>
      <c r="H284" s="311">
        <f t="shared" si="11"/>
        <v>96.91369580297341</v>
      </c>
    </row>
    <row r="285" spans="1:8" ht="12.75">
      <c r="A285" s="394"/>
      <c r="B285" s="337"/>
      <c r="C285" s="338">
        <v>3020</v>
      </c>
      <c r="D285" s="339" t="s">
        <v>101</v>
      </c>
      <c r="E285" s="447">
        <v>5000</v>
      </c>
      <c r="F285" s="340">
        <v>35661</v>
      </c>
      <c r="G285" s="340">
        <v>34231.81</v>
      </c>
      <c r="H285" s="340">
        <f t="shared" si="11"/>
        <v>95.99228849443368</v>
      </c>
    </row>
    <row r="286" spans="1:8" ht="12.75">
      <c r="A286" s="337"/>
      <c r="B286" s="337"/>
      <c r="C286" s="341">
        <v>4010</v>
      </c>
      <c r="D286" s="342" t="s">
        <v>0</v>
      </c>
      <c r="E286" s="448">
        <v>2247883</v>
      </c>
      <c r="F286" s="343">
        <v>2138201</v>
      </c>
      <c r="G286" s="343">
        <v>2127905.96</v>
      </c>
      <c r="H286" s="343">
        <f t="shared" si="11"/>
        <v>99.51851860512646</v>
      </c>
    </row>
    <row r="287" spans="1:8" ht="12.75">
      <c r="A287" s="337"/>
      <c r="B287" s="337"/>
      <c r="C287" s="341">
        <v>4040</v>
      </c>
      <c r="D287" s="342" t="s">
        <v>5</v>
      </c>
      <c r="E287" s="448">
        <v>183946</v>
      </c>
      <c r="F287" s="343">
        <v>178386</v>
      </c>
      <c r="G287" s="343">
        <v>178378.41</v>
      </c>
      <c r="H287" s="343">
        <f t="shared" si="11"/>
        <v>99.99574518179678</v>
      </c>
    </row>
    <row r="288" spans="1:8" ht="12.75">
      <c r="A288" s="337"/>
      <c r="B288" s="337"/>
      <c r="C288" s="341">
        <v>4110</v>
      </c>
      <c r="D288" s="342" t="s">
        <v>7</v>
      </c>
      <c r="E288" s="448">
        <v>406747</v>
      </c>
      <c r="F288" s="343">
        <v>394422</v>
      </c>
      <c r="G288" s="343">
        <v>376446.85</v>
      </c>
      <c r="H288" s="343">
        <f t="shared" si="11"/>
        <v>95.4426603992678</v>
      </c>
    </row>
    <row r="289" spans="1:8" ht="12.75">
      <c r="A289" s="337"/>
      <c r="B289" s="337"/>
      <c r="C289" s="341">
        <v>4120</v>
      </c>
      <c r="D289" s="342" t="s">
        <v>1</v>
      </c>
      <c r="E289" s="448">
        <v>52974</v>
      </c>
      <c r="F289" s="343">
        <v>51342</v>
      </c>
      <c r="G289" s="343">
        <v>48365.42</v>
      </c>
      <c r="H289" s="343">
        <f t="shared" si="11"/>
        <v>94.20244634022828</v>
      </c>
    </row>
    <row r="290" spans="1:8" ht="12.75">
      <c r="A290" s="337"/>
      <c r="B290" s="337"/>
      <c r="C290" s="341">
        <v>4170</v>
      </c>
      <c r="D290" s="342" t="s">
        <v>102</v>
      </c>
      <c r="E290" s="448">
        <v>1500</v>
      </c>
      <c r="F290" s="343">
        <v>2700</v>
      </c>
      <c r="G290" s="343">
        <v>2530.08</v>
      </c>
      <c r="H290" s="343">
        <f t="shared" si="11"/>
        <v>93.70666666666666</v>
      </c>
    </row>
    <row r="291" spans="1:8" ht="12.75">
      <c r="A291" s="337"/>
      <c r="B291" s="337"/>
      <c r="C291" s="341">
        <v>4210</v>
      </c>
      <c r="D291" s="342" t="s">
        <v>44</v>
      </c>
      <c r="E291" s="448">
        <v>25274</v>
      </c>
      <c r="F291" s="343">
        <v>21909</v>
      </c>
      <c r="G291" s="343">
        <v>21907.25</v>
      </c>
      <c r="H291" s="343">
        <f t="shared" si="11"/>
        <v>99.99201241498928</v>
      </c>
    </row>
    <row r="292" spans="1:8" ht="12.75">
      <c r="A292" s="337"/>
      <c r="B292" s="337"/>
      <c r="C292" s="341">
        <v>4240</v>
      </c>
      <c r="D292" s="378" t="s">
        <v>53</v>
      </c>
      <c r="E292" s="448">
        <v>67393</v>
      </c>
      <c r="F292" s="343">
        <v>74690</v>
      </c>
      <c r="G292" s="343">
        <v>14689.41</v>
      </c>
      <c r="H292" s="343">
        <f t="shared" si="11"/>
        <v>19.66717097335654</v>
      </c>
    </row>
    <row r="293" spans="1:8" ht="12.75">
      <c r="A293" s="337"/>
      <c r="B293" s="337"/>
      <c r="C293" s="341">
        <v>4260</v>
      </c>
      <c r="D293" s="342" t="s">
        <v>45</v>
      </c>
      <c r="E293" s="448">
        <v>156000</v>
      </c>
      <c r="F293" s="343">
        <v>144120</v>
      </c>
      <c r="G293" s="343">
        <v>138907.55</v>
      </c>
      <c r="H293" s="343">
        <f t="shared" si="11"/>
        <v>96.38325700804884</v>
      </c>
    </row>
    <row r="294" spans="1:8" ht="12.75">
      <c r="A294" s="337"/>
      <c r="B294" s="337"/>
      <c r="C294" s="341">
        <v>4270</v>
      </c>
      <c r="D294" s="378" t="s">
        <v>46</v>
      </c>
      <c r="E294" s="448">
        <v>7300</v>
      </c>
      <c r="F294" s="343">
        <v>19001</v>
      </c>
      <c r="G294" s="343">
        <v>18437.57</v>
      </c>
      <c r="H294" s="343">
        <f t="shared" si="11"/>
        <v>97.03473501394664</v>
      </c>
    </row>
    <row r="295" spans="1:8" ht="12.75">
      <c r="A295" s="337"/>
      <c r="B295" s="337"/>
      <c r="C295" s="341">
        <v>4280</v>
      </c>
      <c r="D295" s="378" t="s">
        <v>75</v>
      </c>
      <c r="E295" s="448">
        <v>1550</v>
      </c>
      <c r="F295" s="343">
        <v>1814</v>
      </c>
      <c r="G295" s="343">
        <v>1800</v>
      </c>
      <c r="H295" s="343">
        <f t="shared" si="11"/>
        <v>99.22822491730982</v>
      </c>
    </row>
    <row r="296" spans="1:8" ht="12.75">
      <c r="A296" s="337"/>
      <c r="B296" s="337"/>
      <c r="C296" s="341">
        <v>4300</v>
      </c>
      <c r="D296" s="342" t="s">
        <v>43</v>
      </c>
      <c r="E296" s="448">
        <v>45415</v>
      </c>
      <c r="F296" s="343">
        <v>37531</v>
      </c>
      <c r="G296" s="343">
        <v>36756.89</v>
      </c>
      <c r="H296" s="343">
        <f t="shared" si="11"/>
        <v>97.93741173962857</v>
      </c>
    </row>
    <row r="297" spans="1:8" ht="12.75" hidden="1">
      <c r="A297" s="337"/>
      <c r="B297" s="337"/>
      <c r="C297" s="341">
        <v>4350</v>
      </c>
      <c r="D297" s="349" t="s">
        <v>110</v>
      </c>
      <c r="E297" s="448">
        <v>816</v>
      </c>
      <c r="F297" s="343"/>
      <c r="G297" s="343"/>
      <c r="H297" s="343" t="e">
        <f t="shared" si="11"/>
        <v>#DIV/0!</v>
      </c>
    </row>
    <row r="298" spans="1:8" ht="12.75">
      <c r="A298" s="337"/>
      <c r="B298" s="337"/>
      <c r="C298" s="624">
        <v>4360</v>
      </c>
      <c r="D298" s="625" t="s">
        <v>612</v>
      </c>
      <c r="E298" s="449">
        <v>264</v>
      </c>
      <c r="F298" s="347">
        <v>5760</v>
      </c>
      <c r="G298" s="347">
        <v>4874.67</v>
      </c>
      <c r="H298" s="347">
        <f t="shared" si="11"/>
        <v>84.6296875</v>
      </c>
    </row>
    <row r="299" spans="1:8" ht="38.25" hidden="1">
      <c r="A299" s="337"/>
      <c r="B299" s="337"/>
      <c r="C299" s="345">
        <v>4370</v>
      </c>
      <c r="D299" s="350" t="s">
        <v>598</v>
      </c>
      <c r="E299" s="449">
        <v>4680</v>
      </c>
      <c r="F299" s="347"/>
      <c r="G299" s="347"/>
      <c r="H299" s="347" t="e">
        <f t="shared" si="11"/>
        <v>#DIV/0!</v>
      </c>
    </row>
    <row r="300" spans="1:8" ht="25.5">
      <c r="A300" s="337"/>
      <c r="B300" s="337"/>
      <c r="C300" s="345">
        <v>4390</v>
      </c>
      <c r="D300" s="352" t="s">
        <v>646</v>
      </c>
      <c r="E300" s="449"/>
      <c r="F300" s="347">
        <v>255</v>
      </c>
      <c r="G300" s="347">
        <v>254.61</v>
      </c>
      <c r="H300" s="343">
        <f t="shared" si="11"/>
        <v>99.84705882352942</v>
      </c>
    </row>
    <row r="301" spans="1:8" ht="12.75">
      <c r="A301" s="337"/>
      <c r="B301" s="337"/>
      <c r="C301" s="341">
        <v>4410</v>
      </c>
      <c r="D301" s="342" t="s">
        <v>6</v>
      </c>
      <c r="E301" s="448">
        <v>3500</v>
      </c>
      <c r="F301" s="343">
        <v>7600</v>
      </c>
      <c r="G301" s="343">
        <v>7587.75</v>
      </c>
      <c r="H301" s="343">
        <f t="shared" si="11"/>
        <v>99.83881578947368</v>
      </c>
    </row>
    <row r="302" spans="1:8" ht="12.75">
      <c r="A302" s="337"/>
      <c r="B302" s="337"/>
      <c r="C302" s="341">
        <v>4430</v>
      </c>
      <c r="D302" s="346" t="s">
        <v>3</v>
      </c>
      <c r="E302" s="448">
        <v>6200</v>
      </c>
      <c r="F302" s="343">
        <v>6515</v>
      </c>
      <c r="G302" s="343">
        <v>6515</v>
      </c>
      <c r="H302" s="343">
        <f t="shared" si="11"/>
        <v>100</v>
      </c>
    </row>
    <row r="303" spans="1:8" ht="12.75">
      <c r="A303" s="337"/>
      <c r="B303" s="337"/>
      <c r="C303" s="345">
        <v>4440</v>
      </c>
      <c r="D303" s="346" t="s">
        <v>8</v>
      </c>
      <c r="E303" s="449">
        <v>124388</v>
      </c>
      <c r="F303" s="347">
        <v>120969</v>
      </c>
      <c r="G303" s="347">
        <v>120969</v>
      </c>
      <c r="H303" s="343">
        <f t="shared" si="11"/>
        <v>100</v>
      </c>
    </row>
    <row r="304" spans="1:8" ht="25.5">
      <c r="A304" s="337"/>
      <c r="B304" s="337"/>
      <c r="C304" s="626">
        <v>4520</v>
      </c>
      <c r="D304" s="625" t="s">
        <v>625</v>
      </c>
      <c r="E304" s="449"/>
      <c r="F304" s="347">
        <v>5466</v>
      </c>
      <c r="G304" s="347">
        <v>5398</v>
      </c>
      <c r="H304" s="358">
        <f t="shared" si="11"/>
        <v>98.75594584705452</v>
      </c>
    </row>
    <row r="305" spans="1:8" ht="25.5">
      <c r="A305" s="337"/>
      <c r="B305" s="337"/>
      <c r="C305" s="345">
        <v>4700</v>
      </c>
      <c r="D305" s="352" t="s">
        <v>406</v>
      </c>
      <c r="E305" s="449">
        <v>1500</v>
      </c>
      <c r="F305" s="347">
        <v>700</v>
      </c>
      <c r="G305" s="347">
        <v>624</v>
      </c>
      <c r="H305" s="347">
        <f t="shared" si="11"/>
        <v>89.14285714285714</v>
      </c>
    </row>
    <row r="306" spans="1:8" ht="12.75" customHeight="1" thickBot="1">
      <c r="A306" s="337"/>
      <c r="B306" s="337"/>
      <c r="C306" s="396">
        <v>6050</v>
      </c>
      <c r="D306" s="382" t="s">
        <v>47</v>
      </c>
      <c r="E306" s="454"/>
      <c r="F306" s="381">
        <v>8072</v>
      </c>
      <c r="G306" s="381">
        <v>8071.05</v>
      </c>
      <c r="H306" s="381">
        <f t="shared" si="11"/>
        <v>99.98823092170466</v>
      </c>
    </row>
    <row r="307" spans="1:8" ht="13.5" thickBot="1">
      <c r="A307" s="335"/>
      <c r="B307" s="330">
        <v>80146</v>
      </c>
      <c r="C307" s="330"/>
      <c r="D307" s="336" t="s">
        <v>107</v>
      </c>
      <c r="E307" s="446">
        <f>SUM(E308:E310)</f>
        <v>0</v>
      </c>
      <c r="F307" s="311">
        <f>SUM(F308:F310)</f>
        <v>19932</v>
      </c>
      <c r="G307" s="311">
        <f>SUM(G308:G310)</f>
        <v>13817.9</v>
      </c>
      <c r="H307" s="311">
        <f aca="true" t="shared" si="12" ref="H307:H328">G307/F307*100</f>
        <v>69.32520569937788</v>
      </c>
    </row>
    <row r="308" spans="1:8" s="348" customFormat="1" ht="12.75">
      <c r="A308" s="337"/>
      <c r="B308" s="394"/>
      <c r="C308" s="394">
        <v>4300</v>
      </c>
      <c r="D308" s="391" t="s">
        <v>43</v>
      </c>
      <c r="E308" s="460"/>
      <c r="F308" s="380">
        <v>6200</v>
      </c>
      <c r="G308" s="380">
        <v>4300</v>
      </c>
      <c r="H308" s="380">
        <f t="shared" si="12"/>
        <v>69.35483870967742</v>
      </c>
    </row>
    <row r="309" spans="1:8" s="348" customFormat="1" ht="12.75">
      <c r="A309" s="337"/>
      <c r="B309" s="337"/>
      <c r="C309" s="341">
        <v>4410</v>
      </c>
      <c r="D309" s="342" t="s">
        <v>6</v>
      </c>
      <c r="E309" s="448"/>
      <c r="F309" s="343">
        <v>6000</v>
      </c>
      <c r="G309" s="343">
        <v>3924.9</v>
      </c>
      <c r="H309" s="343">
        <f t="shared" si="12"/>
        <v>65.415</v>
      </c>
    </row>
    <row r="310" spans="1:8" s="348" customFormat="1" ht="26.25" thickBot="1">
      <c r="A310" s="337"/>
      <c r="B310" s="337"/>
      <c r="C310" s="345">
        <v>4700</v>
      </c>
      <c r="D310" s="352" t="s">
        <v>406</v>
      </c>
      <c r="E310" s="449"/>
      <c r="F310" s="347">
        <v>7732</v>
      </c>
      <c r="G310" s="347">
        <v>5593</v>
      </c>
      <c r="H310" s="358">
        <f t="shared" si="12"/>
        <v>72.33574754267977</v>
      </c>
    </row>
    <row r="311" spans="1:8" s="348" customFormat="1" ht="64.5" thickBot="1">
      <c r="A311" s="337"/>
      <c r="B311" s="330">
        <v>80150</v>
      </c>
      <c r="C311" s="368"/>
      <c r="D311" s="357" t="s">
        <v>611</v>
      </c>
      <c r="E311" s="446">
        <f>SUM(E312:E322)</f>
        <v>0</v>
      </c>
      <c r="F311" s="311">
        <f>SUM(F312:F322)</f>
        <v>93683</v>
      </c>
      <c r="G311" s="311">
        <f>SUM(G312:G322)</f>
        <v>93683</v>
      </c>
      <c r="H311" s="362">
        <f t="shared" si="12"/>
        <v>100</v>
      </c>
    </row>
    <row r="312" spans="1:8" s="348" customFormat="1" ht="12.75">
      <c r="A312" s="337"/>
      <c r="B312" s="337"/>
      <c r="C312" s="375">
        <v>4010</v>
      </c>
      <c r="D312" s="349" t="s">
        <v>0</v>
      </c>
      <c r="E312" s="450">
        <v>0</v>
      </c>
      <c r="F312" s="358">
        <v>66232</v>
      </c>
      <c r="G312" s="351">
        <v>66232</v>
      </c>
      <c r="H312" s="380">
        <f t="shared" si="12"/>
        <v>100</v>
      </c>
    </row>
    <row r="313" spans="1:8" s="348" customFormat="1" ht="12.75">
      <c r="A313" s="337"/>
      <c r="B313" s="337"/>
      <c r="C313" s="375">
        <v>4110</v>
      </c>
      <c r="D313" s="349" t="s">
        <v>7</v>
      </c>
      <c r="E313" s="448">
        <v>0</v>
      </c>
      <c r="F313" s="343">
        <v>12325</v>
      </c>
      <c r="G313" s="481">
        <v>12325</v>
      </c>
      <c r="H313" s="347">
        <f t="shared" si="12"/>
        <v>100</v>
      </c>
    </row>
    <row r="314" spans="1:8" s="348" customFormat="1" ht="12.75">
      <c r="A314" s="337"/>
      <c r="B314" s="337"/>
      <c r="C314" s="375">
        <v>4120</v>
      </c>
      <c r="D314" s="349" t="s">
        <v>1</v>
      </c>
      <c r="E314" s="448">
        <v>0</v>
      </c>
      <c r="F314" s="343">
        <v>1632</v>
      </c>
      <c r="G314" s="481">
        <v>1632</v>
      </c>
      <c r="H314" s="347">
        <f t="shared" si="12"/>
        <v>100</v>
      </c>
    </row>
    <row r="315" spans="1:8" s="348" customFormat="1" ht="12.75">
      <c r="A315" s="337"/>
      <c r="B315" s="337"/>
      <c r="C315" s="375">
        <v>4210</v>
      </c>
      <c r="D315" s="377" t="s">
        <v>44</v>
      </c>
      <c r="E315" s="448">
        <v>0</v>
      </c>
      <c r="F315" s="343">
        <v>696</v>
      </c>
      <c r="G315" s="481">
        <v>696</v>
      </c>
      <c r="H315" s="347">
        <f t="shared" si="12"/>
        <v>100</v>
      </c>
    </row>
    <row r="316" spans="1:8" s="348" customFormat="1" ht="12.75">
      <c r="A316" s="337"/>
      <c r="B316" s="337"/>
      <c r="C316" s="375">
        <v>4240</v>
      </c>
      <c r="D316" s="349" t="s">
        <v>53</v>
      </c>
      <c r="E316" s="448">
        <v>0</v>
      </c>
      <c r="F316" s="343">
        <v>2306</v>
      </c>
      <c r="G316" s="481">
        <v>2306</v>
      </c>
      <c r="H316" s="347">
        <f t="shared" si="12"/>
        <v>100</v>
      </c>
    </row>
    <row r="317" spans="1:8" s="348" customFormat="1" ht="12.75">
      <c r="A317" s="337"/>
      <c r="B317" s="337"/>
      <c r="C317" s="375">
        <v>4260</v>
      </c>
      <c r="D317" s="349" t="s">
        <v>45</v>
      </c>
      <c r="E317" s="448">
        <v>0</v>
      </c>
      <c r="F317" s="343">
        <v>4580</v>
      </c>
      <c r="G317" s="481">
        <v>4580</v>
      </c>
      <c r="H317" s="347">
        <f t="shared" si="12"/>
        <v>100</v>
      </c>
    </row>
    <row r="318" spans="1:8" s="348" customFormat="1" ht="12.75">
      <c r="A318" s="337"/>
      <c r="B318" s="337"/>
      <c r="C318" s="341">
        <v>4270</v>
      </c>
      <c r="D318" s="342" t="s">
        <v>46</v>
      </c>
      <c r="E318" s="448">
        <v>0</v>
      </c>
      <c r="F318" s="343">
        <v>499</v>
      </c>
      <c r="G318" s="481">
        <v>499</v>
      </c>
      <c r="H318" s="347">
        <f t="shared" si="12"/>
        <v>100</v>
      </c>
    </row>
    <row r="319" spans="1:8" s="348" customFormat="1" ht="12.75">
      <c r="A319" s="337"/>
      <c r="B319" s="337"/>
      <c r="C319" s="375">
        <v>4300</v>
      </c>
      <c r="D319" s="349" t="s">
        <v>43</v>
      </c>
      <c r="E319" s="448">
        <v>0</v>
      </c>
      <c r="F319" s="343">
        <v>1193</v>
      </c>
      <c r="G319" s="481">
        <v>1193</v>
      </c>
      <c r="H319" s="347">
        <f t="shared" si="12"/>
        <v>100</v>
      </c>
    </row>
    <row r="320" spans="1:8" s="348" customFormat="1" ht="12.75">
      <c r="A320" s="337"/>
      <c r="B320" s="337"/>
      <c r="C320" s="375">
        <v>4430</v>
      </c>
      <c r="D320" s="349" t="s">
        <v>3</v>
      </c>
      <c r="E320" s="448">
        <v>0</v>
      </c>
      <c r="F320" s="343">
        <v>191</v>
      </c>
      <c r="G320" s="481">
        <v>191</v>
      </c>
      <c r="H320" s="347">
        <f t="shared" si="12"/>
        <v>100</v>
      </c>
    </row>
    <row r="321" spans="1:8" s="348" customFormat="1" ht="12.75">
      <c r="A321" s="337"/>
      <c r="B321" s="337"/>
      <c r="C321" s="375">
        <v>4440</v>
      </c>
      <c r="D321" s="349" t="s">
        <v>8</v>
      </c>
      <c r="E321" s="450">
        <v>0</v>
      </c>
      <c r="F321" s="358">
        <v>3859</v>
      </c>
      <c r="G321" s="351">
        <v>3859</v>
      </c>
      <c r="H321" s="347">
        <f t="shared" si="12"/>
        <v>100</v>
      </c>
    </row>
    <row r="322" spans="1:8" s="348" customFormat="1" ht="26.25" thickBot="1">
      <c r="A322" s="337"/>
      <c r="B322" s="306"/>
      <c r="C322" s="626">
        <v>4520</v>
      </c>
      <c r="D322" s="625" t="s">
        <v>625</v>
      </c>
      <c r="E322" s="454">
        <v>0</v>
      </c>
      <c r="F322" s="381">
        <v>170</v>
      </c>
      <c r="G322" s="627">
        <v>170</v>
      </c>
      <c r="H322" s="347">
        <f t="shared" si="12"/>
        <v>100</v>
      </c>
    </row>
    <row r="323" spans="1:8" ht="13.5" thickBot="1">
      <c r="A323" s="337"/>
      <c r="B323" s="330">
        <v>80195</v>
      </c>
      <c r="C323" s="330"/>
      <c r="D323" s="357" t="s">
        <v>2</v>
      </c>
      <c r="E323" s="446">
        <f>SUM(E324:E324)</f>
        <v>0</v>
      </c>
      <c r="F323" s="311">
        <f>SUM(F324:F324)</f>
        <v>38414</v>
      </c>
      <c r="G323" s="311">
        <f>SUM(G324:G324)</f>
        <v>38414</v>
      </c>
      <c r="H323" s="311">
        <f t="shared" si="12"/>
        <v>100</v>
      </c>
    </row>
    <row r="324" spans="1:8" ht="13.5" thickBot="1">
      <c r="A324" s="306"/>
      <c r="B324" s="306"/>
      <c r="C324" s="306">
        <v>4440</v>
      </c>
      <c r="D324" s="314" t="s">
        <v>8</v>
      </c>
      <c r="E324" s="466"/>
      <c r="F324" s="355">
        <v>38414</v>
      </c>
      <c r="G324" s="355">
        <v>38414</v>
      </c>
      <c r="H324" s="358">
        <f t="shared" si="12"/>
        <v>100</v>
      </c>
    </row>
    <row r="325" spans="1:8" ht="39" thickBot="1">
      <c r="A325" s="359">
        <v>851</v>
      </c>
      <c r="B325" s="359">
        <v>85156</v>
      </c>
      <c r="C325" s="394"/>
      <c r="D325" s="437" t="s">
        <v>597</v>
      </c>
      <c r="E325" s="455">
        <f>E326</f>
        <v>562</v>
      </c>
      <c r="F325" s="312">
        <f>F326</f>
        <v>188</v>
      </c>
      <c r="G325" s="312">
        <f>G326</f>
        <v>187.2</v>
      </c>
      <c r="H325" s="312">
        <f>G325/F325*100</f>
        <v>99.57446808510639</v>
      </c>
    </row>
    <row r="326" spans="1:8" ht="13.5" thickBot="1">
      <c r="A326" s="306"/>
      <c r="B326" s="356"/>
      <c r="C326" s="356">
        <v>4130</v>
      </c>
      <c r="D326" s="438" t="s">
        <v>160</v>
      </c>
      <c r="E326" s="451">
        <v>562</v>
      </c>
      <c r="F326" s="362">
        <v>188</v>
      </c>
      <c r="G326" s="362">
        <v>187.2</v>
      </c>
      <c r="H326" s="362">
        <f>G326/F326*100</f>
        <v>99.57446808510639</v>
      </c>
    </row>
    <row r="327" spans="1:8" ht="13.5" thickBot="1">
      <c r="A327" s="359">
        <v>854</v>
      </c>
      <c r="B327" s="330">
        <v>85415</v>
      </c>
      <c r="C327" s="421"/>
      <c r="D327" s="357" t="s">
        <v>105</v>
      </c>
      <c r="E327" s="474">
        <f>SUM(E328:E328)</f>
        <v>0</v>
      </c>
      <c r="F327" s="422">
        <f>SUM(F328:F328)</f>
        <v>8600</v>
      </c>
      <c r="G327" s="379">
        <f>SUM(G328:G328)</f>
        <v>8600</v>
      </c>
      <c r="H327" s="311">
        <f t="shared" si="12"/>
        <v>100</v>
      </c>
    </row>
    <row r="328" spans="1:8" ht="13.5" thickBot="1">
      <c r="A328" s="337"/>
      <c r="B328" s="335"/>
      <c r="C328" s="423">
        <v>3240</v>
      </c>
      <c r="D328" s="374" t="s">
        <v>155</v>
      </c>
      <c r="E328" s="475"/>
      <c r="F328" s="353">
        <v>8600</v>
      </c>
      <c r="G328" s="340">
        <v>8600</v>
      </c>
      <c r="H328" s="340">
        <f t="shared" si="12"/>
        <v>100</v>
      </c>
    </row>
    <row r="329" spans="1:8" s="348" customFormat="1" ht="12.75">
      <c r="A329" s="390"/>
      <c r="B329" s="390"/>
      <c r="C329" s="390"/>
      <c r="D329" s="391"/>
      <c r="E329" s="457"/>
      <c r="F329" s="388"/>
      <c r="G329" s="388"/>
      <c r="H329" s="388"/>
    </row>
    <row r="330" spans="1:8" ht="13.5" thickBot="1">
      <c r="A330" s="327"/>
      <c r="B330" s="327"/>
      <c r="C330" s="327"/>
      <c r="D330" s="326"/>
      <c r="E330" s="452"/>
      <c r="F330" s="351"/>
      <c r="G330" s="351"/>
      <c r="H330" s="351"/>
    </row>
    <row r="331" spans="1:8" ht="19.5" thickBot="1">
      <c r="A331" s="831" t="s">
        <v>163</v>
      </c>
      <c r="B331" s="832"/>
      <c r="C331" s="832"/>
      <c r="D331" s="832"/>
      <c r="E331" s="832"/>
      <c r="F331" s="832"/>
      <c r="G331" s="833"/>
      <c r="H331" s="411"/>
    </row>
    <row r="332" spans="1:8" s="348" customFormat="1" ht="16.5" thickBot="1">
      <c r="A332" s="335"/>
      <c r="B332" s="337"/>
      <c r="C332" s="337"/>
      <c r="D332" s="369" t="s">
        <v>10</v>
      </c>
      <c r="E332" s="471">
        <f>E333+E339+E376+E360+E378</f>
        <v>3545219</v>
      </c>
      <c r="F332" s="412">
        <f>F333+F339+F376+F360+F378+F365</f>
        <v>3619051</v>
      </c>
      <c r="G332" s="412">
        <f>G333+G339+G376+G360+G378+G365</f>
        <v>3571391.1699999995</v>
      </c>
      <c r="H332" s="370">
        <f aca="true" t="shared" si="13" ref="H332:H357">G332/F332*100</f>
        <v>98.6830848750128</v>
      </c>
    </row>
    <row r="333" spans="1:8" ht="13.5" thickBot="1">
      <c r="A333" s="359">
        <v>801</v>
      </c>
      <c r="B333" s="330">
        <v>80120</v>
      </c>
      <c r="C333" s="330"/>
      <c r="D333" s="409" t="s">
        <v>56</v>
      </c>
      <c r="E333" s="446">
        <f>SUM(E334:E338)</f>
        <v>804254</v>
      </c>
      <c r="F333" s="311">
        <f>SUM(F334:F338)</f>
        <v>743175</v>
      </c>
      <c r="G333" s="311">
        <f>SUM(G334:G338)</f>
        <v>733225.54</v>
      </c>
      <c r="H333" s="311">
        <f t="shared" si="13"/>
        <v>98.6612224576984</v>
      </c>
    </row>
    <row r="334" spans="1:8" s="348" customFormat="1" ht="12.75">
      <c r="A334" s="337"/>
      <c r="B334" s="337"/>
      <c r="C334" s="338">
        <v>4010</v>
      </c>
      <c r="D334" s="424" t="s">
        <v>0</v>
      </c>
      <c r="E334" s="447">
        <v>609984</v>
      </c>
      <c r="F334" s="340">
        <v>568704</v>
      </c>
      <c r="G334" s="340">
        <v>567788.56</v>
      </c>
      <c r="H334" s="340">
        <f t="shared" si="13"/>
        <v>99.83903049741167</v>
      </c>
    </row>
    <row r="335" spans="1:8" ht="12.75">
      <c r="A335" s="337"/>
      <c r="B335" s="337"/>
      <c r="C335" s="341">
        <v>4040</v>
      </c>
      <c r="D335" s="342" t="s">
        <v>5</v>
      </c>
      <c r="E335" s="448">
        <v>39915</v>
      </c>
      <c r="F335" s="343">
        <v>41462</v>
      </c>
      <c r="G335" s="343">
        <v>41460.83</v>
      </c>
      <c r="H335" s="343">
        <f t="shared" si="13"/>
        <v>99.99717813901886</v>
      </c>
    </row>
    <row r="336" spans="1:8" ht="12.75">
      <c r="A336" s="337"/>
      <c r="B336" s="337"/>
      <c r="C336" s="341">
        <v>4110</v>
      </c>
      <c r="D336" s="342" t="s">
        <v>7</v>
      </c>
      <c r="E336" s="448">
        <v>111305</v>
      </c>
      <c r="F336" s="343">
        <v>95637</v>
      </c>
      <c r="G336" s="343">
        <v>86669.3</v>
      </c>
      <c r="H336" s="343">
        <f t="shared" si="13"/>
        <v>90.62318976964983</v>
      </c>
    </row>
    <row r="337" spans="1:8" ht="12.75">
      <c r="A337" s="337"/>
      <c r="B337" s="337"/>
      <c r="C337" s="341">
        <v>4120</v>
      </c>
      <c r="D337" s="342" t="s">
        <v>1</v>
      </c>
      <c r="E337" s="448">
        <v>15992</v>
      </c>
      <c r="F337" s="343">
        <v>11283</v>
      </c>
      <c r="G337" s="343">
        <v>11217.85</v>
      </c>
      <c r="H337" s="343">
        <f t="shared" si="13"/>
        <v>99.42258264645928</v>
      </c>
    </row>
    <row r="338" spans="1:8" ht="13.5" thickBot="1">
      <c r="A338" s="337"/>
      <c r="B338" s="306"/>
      <c r="C338" s="396">
        <v>4440</v>
      </c>
      <c r="D338" s="397" t="s">
        <v>8</v>
      </c>
      <c r="E338" s="454">
        <v>27058</v>
      </c>
      <c r="F338" s="381">
        <v>26089</v>
      </c>
      <c r="G338" s="381">
        <v>26089</v>
      </c>
      <c r="H338" s="381">
        <f t="shared" si="13"/>
        <v>100</v>
      </c>
    </row>
    <row r="339" spans="1:8" ht="13.5" thickBot="1">
      <c r="A339" s="335"/>
      <c r="B339" s="330">
        <v>80130</v>
      </c>
      <c r="C339" s="330"/>
      <c r="D339" s="336" t="s">
        <v>69</v>
      </c>
      <c r="E339" s="446">
        <f>SUM(E340:E359)</f>
        <v>2740965</v>
      </c>
      <c r="F339" s="311">
        <f>SUM(F340:F359)</f>
        <v>2740051</v>
      </c>
      <c r="G339" s="311">
        <f>SUM(G340:G359)</f>
        <v>2720082.6299999994</v>
      </c>
      <c r="H339" s="311">
        <f t="shared" si="13"/>
        <v>99.27124093675627</v>
      </c>
    </row>
    <row r="340" spans="1:8" s="348" customFormat="1" ht="12.75">
      <c r="A340" s="337"/>
      <c r="B340" s="337"/>
      <c r="C340" s="338">
        <v>3020</v>
      </c>
      <c r="D340" s="339" t="s">
        <v>101</v>
      </c>
      <c r="E340" s="447">
        <v>6500</v>
      </c>
      <c r="F340" s="340">
        <v>32193</v>
      </c>
      <c r="G340" s="340">
        <v>32192.66</v>
      </c>
      <c r="H340" s="340">
        <f t="shared" si="13"/>
        <v>99.99894386978536</v>
      </c>
    </row>
    <row r="341" spans="1:8" ht="12.75">
      <c r="A341" s="337"/>
      <c r="B341" s="337"/>
      <c r="C341" s="341">
        <v>4010</v>
      </c>
      <c r="D341" s="342" t="s">
        <v>0</v>
      </c>
      <c r="E341" s="448">
        <v>1726905</v>
      </c>
      <c r="F341" s="343">
        <v>1708876</v>
      </c>
      <c r="G341" s="343">
        <v>1702666.28</v>
      </c>
      <c r="H341" s="343">
        <f t="shared" si="13"/>
        <v>99.63661962599978</v>
      </c>
    </row>
    <row r="342" spans="1:8" ht="12.75">
      <c r="A342" s="337"/>
      <c r="B342" s="337"/>
      <c r="C342" s="341">
        <v>4040</v>
      </c>
      <c r="D342" s="342" t="s">
        <v>5</v>
      </c>
      <c r="E342" s="448">
        <v>145804</v>
      </c>
      <c r="F342" s="343">
        <v>133794</v>
      </c>
      <c r="G342" s="343">
        <v>133793.05</v>
      </c>
      <c r="H342" s="343">
        <f t="shared" si="13"/>
        <v>99.99928995321164</v>
      </c>
    </row>
    <row r="343" spans="1:8" ht="12.75">
      <c r="A343" s="337"/>
      <c r="B343" s="337"/>
      <c r="C343" s="341">
        <v>4110</v>
      </c>
      <c r="D343" s="342" t="s">
        <v>7</v>
      </c>
      <c r="E343" s="448">
        <v>317859</v>
      </c>
      <c r="F343" s="343">
        <v>334615</v>
      </c>
      <c r="G343" s="343">
        <v>321296.75</v>
      </c>
      <c r="H343" s="343">
        <f t="shared" si="13"/>
        <v>96.01982875842387</v>
      </c>
    </row>
    <row r="344" spans="1:8" ht="12.75">
      <c r="A344" s="337"/>
      <c r="B344" s="337"/>
      <c r="C344" s="341">
        <v>4120</v>
      </c>
      <c r="D344" s="342" t="s">
        <v>1</v>
      </c>
      <c r="E344" s="448">
        <v>44093</v>
      </c>
      <c r="F344" s="343">
        <v>41364</v>
      </c>
      <c r="G344" s="343">
        <v>41343.91</v>
      </c>
      <c r="H344" s="343">
        <f t="shared" si="13"/>
        <v>99.95143119620927</v>
      </c>
    </row>
    <row r="345" spans="1:8" ht="12.75">
      <c r="A345" s="337"/>
      <c r="B345" s="337"/>
      <c r="C345" s="341">
        <v>4170</v>
      </c>
      <c r="D345" s="342" t="s">
        <v>102</v>
      </c>
      <c r="E345" s="448">
        <v>24800</v>
      </c>
      <c r="F345" s="343">
        <v>22265</v>
      </c>
      <c r="G345" s="343">
        <v>22264.54</v>
      </c>
      <c r="H345" s="343">
        <f t="shared" si="13"/>
        <v>99.9979339770941</v>
      </c>
    </row>
    <row r="346" spans="1:8" ht="12.75">
      <c r="A346" s="337"/>
      <c r="B346" s="337"/>
      <c r="C346" s="341">
        <v>4210</v>
      </c>
      <c r="D346" s="342" t="s">
        <v>44</v>
      </c>
      <c r="E346" s="448">
        <v>57392</v>
      </c>
      <c r="F346" s="343">
        <v>60175</v>
      </c>
      <c r="G346" s="343">
        <v>60137.44</v>
      </c>
      <c r="H346" s="343">
        <f t="shared" si="13"/>
        <v>99.93758205234732</v>
      </c>
    </row>
    <row r="347" spans="1:8" ht="12.75">
      <c r="A347" s="337"/>
      <c r="B347" s="337"/>
      <c r="C347" s="341">
        <v>4240</v>
      </c>
      <c r="D347" s="342" t="s">
        <v>53</v>
      </c>
      <c r="E347" s="448">
        <v>6000</v>
      </c>
      <c r="F347" s="343">
        <v>3097</v>
      </c>
      <c r="G347" s="343">
        <v>3085.4</v>
      </c>
      <c r="H347" s="343">
        <f t="shared" si="13"/>
        <v>99.62544397804326</v>
      </c>
    </row>
    <row r="348" spans="1:8" ht="12.75">
      <c r="A348" s="337"/>
      <c r="B348" s="337"/>
      <c r="C348" s="341">
        <v>4260</v>
      </c>
      <c r="D348" s="342" t="s">
        <v>45</v>
      </c>
      <c r="E348" s="448">
        <v>225000</v>
      </c>
      <c r="F348" s="343">
        <v>208000</v>
      </c>
      <c r="G348" s="343">
        <v>207680.01</v>
      </c>
      <c r="H348" s="343">
        <f t="shared" si="13"/>
        <v>99.84615865384616</v>
      </c>
    </row>
    <row r="349" spans="1:8" ht="12.75">
      <c r="A349" s="337"/>
      <c r="B349" s="337"/>
      <c r="C349" s="341">
        <v>4270</v>
      </c>
      <c r="D349" s="342" t="s">
        <v>46</v>
      </c>
      <c r="E349" s="448">
        <v>19000</v>
      </c>
      <c r="F349" s="343">
        <v>15356</v>
      </c>
      <c r="G349" s="343">
        <v>15355.5</v>
      </c>
      <c r="H349" s="343">
        <f t="shared" si="13"/>
        <v>99.99674394373534</v>
      </c>
    </row>
    <row r="350" spans="1:8" ht="12.75">
      <c r="A350" s="337"/>
      <c r="B350" s="337"/>
      <c r="C350" s="341">
        <v>4280</v>
      </c>
      <c r="D350" s="378" t="s">
        <v>75</v>
      </c>
      <c r="E350" s="448">
        <v>3500</v>
      </c>
      <c r="F350" s="343">
        <v>670</v>
      </c>
      <c r="G350" s="343">
        <v>670</v>
      </c>
      <c r="H350" s="343">
        <f t="shared" si="13"/>
        <v>100</v>
      </c>
    </row>
    <row r="351" spans="1:8" ht="12.75">
      <c r="A351" s="337"/>
      <c r="B351" s="337"/>
      <c r="C351" s="341">
        <v>4300</v>
      </c>
      <c r="D351" s="342" t="s">
        <v>43</v>
      </c>
      <c r="E351" s="448">
        <v>44500</v>
      </c>
      <c r="F351" s="343">
        <v>61116</v>
      </c>
      <c r="G351" s="343">
        <v>61089.69</v>
      </c>
      <c r="H351" s="343">
        <f t="shared" si="13"/>
        <v>99.95695071666995</v>
      </c>
    </row>
    <row r="352" spans="1:8" ht="12.75" hidden="1">
      <c r="A352" s="337"/>
      <c r="B352" s="337"/>
      <c r="C352" s="341">
        <v>4350</v>
      </c>
      <c r="D352" s="349" t="s">
        <v>110</v>
      </c>
      <c r="E352" s="448">
        <v>3000</v>
      </c>
      <c r="F352" s="343"/>
      <c r="G352" s="343"/>
      <c r="H352" s="343" t="e">
        <f t="shared" si="13"/>
        <v>#DIV/0!</v>
      </c>
    </row>
    <row r="353" spans="1:8" ht="12.75">
      <c r="A353" s="337"/>
      <c r="B353" s="337"/>
      <c r="C353" s="624">
        <v>4360</v>
      </c>
      <c r="D353" s="625" t="s">
        <v>612</v>
      </c>
      <c r="E353" s="449">
        <v>1000</v>
      </c>
      <c r="F353" s="347">
        <v>7130</v>
      </c>
      <c r="G353" s="347">
        <v>7115.34</v>
      </c>
      <c r="H353" s="347">
        <f>G353/F353*100</f>
        <v>99.7943899018233</v>
      </c>
    </row>
    <row r="354" spans="1:8" ht="38.25" hidden="1">
      <c r="A354" s="337"/>
      <c r="B354" s="337"/>
      <c r="C354" s="345">
        <v>4370</v>
      </c>
      <c r="D354" s="350" t="s">
        <v>598</v>
      </c>
      <c r="E354" s="449">
        <v>3930</v>
      </c>
      <c r="F354" s="347"/>
      <c r="G354" s="347"/>
      <c r="H354" s="347" t="e">
        <f t="shared" si="13"/>
        <v>#DIV/0!</v>
      </c>
    </row>
    <row r="355" spans="1:8" ht="12.75">
      <c r="A355" s="337"/>
      <c r="B355" s="337"/>
      <c r="C355" s="341">
        <v>4410</v>
      </c>
      <c r="D355" s="342" t="s">
        <v>6</v>
      </c>
      <c r="E355" s="448">
        <v>3200</v>
      </c>
      <c r="F355" s="343">
        <v>6800</v>
      </c>
      <c r="G355" s="343">
        <v>6792.76</v>
      </c>
      <c r="H355" s="343">
        <f t="shared" si="13"/>
        <v>99.89352941176472</v>
      </c>
    </row>
    <row r="356" spans="1:8" ht="12.75">
      <c r="A356" s="337"/>
      <c r="B356" s="337"/>
      <c r="C356" s="345">
        <v>4430</v>
      </c>
      <c r="D356" s="346" t="s">
        <v>3</v>
      </c>
      <c r="E356" s="448">
        <v>6500</v>
      </c>
      <c r="F356" s="343">
        <v>3480</v>
      </c>
      <c r="G356" s="343">
        <v>3479.9</v>
      </c>
      <c r="H356" s="343">
        <f t="shared" si="13"/>
        <v>99.99712643678161</v>
      </c>
    </row>
    <row r="357" spans="1:8" ht="12.75">
      <c r="A357" s="337"/>
      <c r="B357" s="337"/>
      <c r="C357" s="341">
        <v>4440</v>
      </c>
      <c r="D357" s="342" t="s">
        <v>8</v>
      </c>
      <c r="E357" s="448">
        <v>99382</v>
      </c>
      <c r="F357" s="343">
        <v>97037</v>
      </c>
      <c r="G357" s="343">
        <v>97037</v>
      </c>
      <c r="H357" s="343">
        <f t="shared" si="13"/>
        <v>100</v>
      </c>
    </row>
    <row r="358" spans="1:8" ht="12.75">
      <c r="A358" s="337"/>
      <c r="B358" s="337"/>
      <c r="C358" s="345">
        <v>4480</v>
      </c>
      <c r="D358" s="313" t="s">
        <v>70</v>
      </c>
      <c r="E358" s="449">
        <v>1100</v>
      </c>
      <c r="F358" s="347">
        <v>608</v>
      </c>
      <c r="G358" s="347">
        <v>608</v>
      </c>
      <c r="H358" s="347">
        <f aca="true" t="shared" si="14" ref="H358:H364">G358/F358*100</f>
        <v>100</v>
      </c>
    </row>
    <row r="359" spans="1:8" ht="26.25" thickBot="1">
      <c r="A359" s="337"/>
      <c r="B359" s="337"/>
      <c r="C359" s="345">
        <v>4700</v>
      </c>
      <c r="D359" s="352" t="s">
        <v>406</v>
      </c>
      <c r="E359" s="449">
        <v>1500</v>
      </c>
      <c r="F359" s="347">
        <v>3475</v>
      </c>
      <c r="G359" s="347">
        <v>3474.4</v>
      </c>
      <c r="H359" s="347">
        <f t="shared" si="14"/>
        <v>99.98273381294965</v>
      </c>
    </row>
    <row r="360" spans="1:8" ht="13.5" thickBot="1">
      <c r="A360" s="337"/>
      <c r="B360" s="330">
        <v>80146</v>
      </c>
      <c r="C360" s="330"/>
      <c r="D360" s="336" t="s">
        <v>107</v>
      </c>
      <c r="E360" s="446">
        <f>SUM(E361:E364)</f>
        <v>0</v>
      </c>
      <c r="F360" s="311">
        <f>SUM(F361:F364)</f>
        <v>20611</v>
      </c>
      <c r="G360" s="311">
        <f>SUM(G361:G364)</f>
        <v>2869</v>
      </c>
      <c r="H360" s="311">
        <f t="shared" si="14"/>
        <v>13.919751588957352</v>
      </c>
    </row>
    <row r="361" spans="1:8" ht="12.75">
      <c r="A361" s="337"/>
      <c r="B361" s="394"/>
      <c r="C361" s="341">
        <v>4210</v>
      </c>
      <c r="D361" s="342" t="s">
        <v>44</v>
      </c>
      <c r="E361" s="449"/>
      <c r="F361" s="347">
        <v>2000</v>
      </c>
      <c r="G361" s="347">
        <v>0</v>
      </c>
      <c r="H361" s="347">
        <f t="shared" si="14"/>
        <v>0</v>
      </c>
    </row>
    <row r="362" spans="1:8" ht="12.75">
      <c r="A362" s="337"/>
      <c r="B362" s="337"/>
      <c r="C362" s="341">
        <v>4300</v>
      </c>
      <c r="D362" s="342" t="s">
        <v>43</v>
      </c>
      <c r="E362" s="448"/>
      <c r="F362" s="343">
        <v>5350</v>
      </c>
      <c r="G362" s="343">
        <v>0</v>
      </c>
      <c r="H362" s="343">
        <f t="shared" si="14"/>
        <v>0</v>
      </c>
    </row>
    <row r="363" spans="1:8" ht="12.75">
      <c r="A363" s="337"/>
      <c r="B363" s="337"/>
      <c r="C363" s="341">
        <v>4410</v>
      </c>
      <c r="D363" s="342" t="s">
        <v>6</v>
      </c>
      <c r="E363" s="448"/>
      <c r="F363" s="343">
        <v>2000</v>
      </c>
      <c r="G363" s="343">
        <v>0</v>
      </c>
      <c r="H363" s="343">
        <f t="shared" si="14"/>
        <v>0</v>
      </c>
    </row>
    <row r="364" spans="1:8" ht="26.25" thickBot="1">
      <c r="A364" s="337"/>
      <c r="B364" s="337"/>
      <c r="C364" s="345">
        <v>4700</v>
      </c>
      <c r="D364" s="352" t="s">
        <v>406</v>
      </c>
      <c r="E364" s="449"/>
      <c r="F364" s="347">
        <v>11261</v>
      </c>
      <c r="G364" s="347">
        <v>2869</v>
      </c>
      <c r="H364" s="347">
        <f t="shared" si="14"/>
        <v>25.47731107361691</v>
      </c>
    </row>
    <row r="365" spans="1:8" ht="64.5" thickBot="1">
      <c r="A365" s="337"/>
      <c r="B365" s="330">
        <v>80150</v>
      </c>
      <c r="C365" s="368"/>
      <c r="D365" s="357" t="s">
        <v>611</v>
      </c>
      <c r="E365" s="446">
        <f>SUM(E366:E375)</f>
        <v>0</v>
      </c>
      <c r="F365" s="311">
        <f>SUM(F366:F375)</f>
        <v>62993</v>
      </c>
      <c r="G365" s="311">
        <f>SUM(G366:G375)</f>
        <v>62993</v>
      </c>
      <c r="H365" s="362">
        <f aca="true" t="shared" si="15" ref="H365:H375">G365/F365*100</f>
        <v>100</v>
      </c>
    </row>
    <row r="366" spans="1:8" ht="12.75">
      <c r="A366" s="337"/>
      <c r="B366" s="337"/>
      <c r="C366" s="375">
        <v>4010</v>
      </c>
      <c r="D366" s="349" t="s">
        <v>0</v>
      </c>
      <c r="E366" s="450">
        <v>0</v>
      </c>
      <c r="F366" s="358">
        <v>45079</v>
      </c>
      <c r="G366" s="351">
        <v>45079</v>
      </c>
      <c r="H366" s="380">
        <f t="shared" si="15"/>
        <v>100</v>
      </c>
    </row>
    <row r="367" spans="1:8" ht="12.75">
      <c r="A367" s="337"/>
      <c r="B367" s="337"/>
      <c r="C367" s="375">
        <v>4110</v>
      </c>
      <c r="D367" s="349" t="s">
        <v>7</v>
      </c>
      <c r="E367" s="448">
        <v>0</v>
      </c>
      <c r="F367" s="343">
        <v>8272</v>
      </c>
      <c r="G367" s="481">
        <v>8272</v>
      </c>
      <c r="H367" s="347">
        <f t="shared" si="15"/>
        <v>100</v>
      </c>
    </row>
    <row r="368" spans="1:8" ht="12.75">
      <c r="A368" s="337"/>
      <c r="B368" s="337"/>
      <c r="C368" s="375">
        <v>4120</v>
      </c>
      <c r="D368" s="349" t="s">
        <v>1</v>
      </c>
      <c r="E368" s="448">
        <v>0</v>
      </c>
      <c r="F368" s="343">
        <v>1162</v>
      </c>
      <c r="G368" s="481">
        <v>1162</v>
      </c>
      <c r="H368" s="347">
        <f t="shared" si="15"/>
        <v>100</v>
      </c>
    </row>
    <row r="369" spans="1:8" ht="12.75">
      <c r="A369" s="337"/>
      <c r="B369" s="337"/>
      <c r="C369" s="375">
        <v>4210</v>
      </c>
      <c r="D369" s="377" t="s">
        <v>44</v>
      </c>
      <c r="E369" s="448">
        <v>0</v>
      </c>
      <c r="F369" s="343">
        <v>975</v>
      </c>
      <c r="G369" s="481">
        <v>975</v>
      </c>
      <c r="H369" s="347">
        <f t="shared" si="15"/>
        <v>100</v>
      </c>
    </row>
    <row r="370" spans="1:8" ht="12.75">
      <c r="A370" s="337"/>
      <c r="B370" s="337"/>
      <c r="C370" s="375">
        <v>4240</v>
      </c>
      <c r="D370" s="349" t="s">
        <v>53</v>
      </c>
      <c r="E370" s="448">
        <v>0</v>
      </c>
      <c r="F370" s="343">
        <v>103</v>
      </c>
      <c r="G370" s="481">
        <v>103</v>
      </c>
      <c r="H370" s="347">
        <f t="shared" si="15"/>
        <v>100</v>
      </c>
    </row>
    <row r="371" spans="1:8" ht="12.75">
      <c r="A371" s="337"/>
      <c r="B371" s="337"/>
      <c r="C371" s="375">
        <v>4260</v>
      </c>
      <c r="D371" s="349" t="s">
        <v>45</v>
      </c>
      <c r="E371" s="448">
        <v>0</v>
      </c>
      <c r="F371" s="343">
        <v>3427</v>
      </c>
      <c r="G371" s="481">
        <v>3427</v>
      </c>
      <c r="H371" s="347">
        <f t="shared" si="15"/>
        <v>100</v>
      </c>
    </row>
    <row r="372" spans="1:8" ht="12.75">
      <c r="A372" s="337"/>
      <c r="B372" s="337"/>
      <c r="C372" s="341">
        <v>4270</v>
      </c>
      <c r="D372" s="342" t="s">
        <v>46</v>
      </c>
      <c r="E372" s="448">
        <v>0</v>
      </c>
      <c r="F372" s="343">
        <v>324</v>
      </c>
      <c r="G372" s="481">
        <v>324</v>
      </c>
      <c r="H372" s="347">
        <f t="shared" si="15"/>
        <v>100</v>
      </c>
    </row>
    <row r="373" spans="1:8" ht="12.75">
      <c r="A373" s="337"/>
      <c r="B373" s="337"/>
      <c r="C373" s="375">
        <v>4300</v>
      </c>
      <c r="D373" s="349" t="s">
        <v>43</v>
      </c>
      <c r="E373" s="448">
        <v>0</v>
      </c>
      <c r="F373" s="343">
        <v>1173</v>
      </c>
      <c r="G373" s="481">
        <v>1173</v>
      </c>
      <c r="H373" s="347">
        <f t="shared" si="15"/>
        <v>100</v>
      </c>
    </row>
    <row r="374" spans="1:8" ht="12.75">
      <c r="A374" s="337"/>
      <c r="B374" s="337"/>
      <c r="C374" s="375">
        <v>4430</v>
      </c>
      <c r="D374" s="349" t="s">
        <v>3</v>
      </c>
      <c r="E374" s="448">
        <v>0</v>
      </c>
      <c r="F374" s="343">
        <v>91</v>
      </c>
      <c r="G374" s="481">
        <v>91</v>
      </c>
      <c r="H374" s="347">
        <f t="shared" si="15"/>
        <v>100</v>
      </c>
    </row>
    <row r="375" spans="1:8" ht="13.5" thickBot="1">
      <c r="A375" s="337"/>
      <c r="B375" s="306"/>
      <c r="C375" s="375">
        <v>4440</v>
      </c>
      <c r="D375" s="349" t="s">
        <v>8</v>
      </c>
      <c r="E375" s="466">
        <v>0</v>
      </c>
      <c r="F375" s="355">
        <v>2387</v>
      </c>
      <c r="G375" s="363">
        <v>2387</v>
      </c>
      <c r="H375" s="347">
        <f t="shared" si="15"/>
        <v>100</v>
      </c>
    </row>
    <row r="376" spans="1:8" ht="13.5" thickBot="1">
      <c r="A376" s="337"/>
      <c r="B376" s="330">
        <v>80195</v>
      </c>
      <c r="C376" s="330"/>
      <c r="D376" s="357" t="s">
        <v>2</v>
      </c>
      <c r="E376" s="446">
        <f>SUM(E377:E377)</f>
        <v>0</v>
      </c>
      <c r="F376" s="311">
        <f>SUM(F377:F377)</f>
        <v>37221</v>
      </c>
      <c r="G376" s="311">
        <f>SUM(G377:G377)</f>
        <v>37221</v>
      </c>
      <c r="H376" s="311">
        <f>G376/F376*100</f>
        <v>100</v>
      </c>
    </row>
    <row r="377" spans="1:8" ht="13.5" thickBot="1">
      <c r="A377" s="306"/>
      <c r="B377" s="306"/>
      <c r="C377" s="396">
        <v>4440</v>
      </c>
      <c r="D377" s="397" t="s">
        <v>8</v>
      </c>
      <c r="E377" s="454"/>
      <c r="F377" s="381">
        <v>37221</v>
      </c>
      <c r="G377" s="381">
        <v>37221</v>
      </c>
      <c r="H377" s="381">
        <f>G377/F377*100</f>
        <v>100</v>
      </c>
    </row>
    <row r="378" spans="1:8" ht="13.5" thickBot="1">
      <c r="A378" s="359">
        <v>854</v>
      </c>
      <c r="B378" s="330">
        <v>85415</v>
      </c>
      <c r="C378" s="421"/>
      <c r="D378" s="357" t="s">
        <v>105</v>
      </c>
      <c r="E378" s="474">
        <f>SUM(E379:E379)</f>
        <v>0</v>
      </c>
      <c r="F378" s="422">
        <f>SUM(F379:F379)</f>
        <v>15000</v>
      </c>
      <c r="G378" s="379">
        <f>SUM(G379:G379)</f>
        <v>15000</v>
      </c>
      <c r="H378" s="311">
        <f>G378/F378*100</f>
        <v>100</v>
      </c>
    </row>
    <row r="379" spans="1:8" ht="13.5" thickBot="1">
      <c r="A379" s="306"/>
      <c r="B379" s="354"/>
      <c r="C379" s="425">
        <v>3240</v>
      </c>
      <c r="D379" s="314" t="s">
        <v>155</v>
      </c>
      <c r="E379" s="476"/>
      <c r="F379" s="362">
        <v>15000</v>
      </c>
      <c r="G379" s="355">
        <v>15000</v>
      </c>
      <c r="H379" s="355">
        <f>G379/F379*100</f>
        <v>100</v>
      </c>
    </row>
    <row r="380" spans="1:8" ht="12.75">
      <c r="A380" s="327"/>
      <c r="B380" s="327"/>
      <c r="C380" s="327"/>
      <c r="D380" s="326"/>
      <c r="E380" s="452"/>
      <c r="F380" s="351"/>
      <c r="G380" s="351"/>
      <c r="H380" s="351"/>
    </row>
    <row r="381" spans="1:8" ht="13.5" thickBot="1">
      <c r="A381" s="327"/>
      <c r="B381" s="327"/>
      <c r="C381" s="327"/>
      <c r="D381" s="326"/>
      <c r="E381" s="452"/>
      <c r="F381" s="351"/>
      <c r="G381" s="351" t="s">
        <v>4</v>
      </c>
      <c r="H381" s="351"/>
    </row>
    <row r="382" spans="1:8" ht="19.5" thickBot="1">
      <c r="A382" s="831" t="s">
        <v>181</v>
      </c>
      <c r="B382" s="832"/>
      <c r="C382" s="832"/>
      <c r="D382" s="832"/>
      <c r="E382" s="832"/>
      <c r="F382" s="832"/>
      <c r="G382" s="833"/>
      <c r="H382" s="406"/>
    </row>
    <row r="383" spans="1:8" ht="16.5" thickBot="1">
      <c r="A383" s="335"/>
      <c r="B383" s="337"/>
      <c r="C383" s="337"/>
      <c r="D383" s="369" t="s">
        <v>10</v>
      </c>
      <c r="E383" s="471">
        <f>E384+E390+E427+E431+E410+E415+E429</f>
        <v>3682091</v>
      </c>
      <c r="F383" s="412">
        <f>F384+F390+F427+F431+F410+F415+F429</f>
        <v>3776081</v>
      </c>
      <c r="G383" s="412">
        <f>G384+G390+G427+G431+G410+G415+G429</f>
        <v>0</v>
      </c>
      <c r="H383" s="370">
        <f aca="true" t="shared" si="16" ref="H383:H396">G383/F383*100</f>
        <v>0</v>
      </c>
    </row>
    <row r="384" spans="1:8" ht="13.5" thickBot="1">
      <c r="A384" s="359">
        <v>801</v>
      </c>
      <c r="B384" s="330">
        <v>80120</v>
      </c>
      <c r="C384" s="330"/>
      <c r="D384" s="336" t="s">
        <v>56</v>
      </c>
      <c r="E384" s="446">
        <f>SUM(E385:E389)</f>
        <v>1218109</v>
      </c>
      <c r="F384" s="311">
        <f>SUM(F385:F389)</f>
        <v>1167945</v>
      </c>
      <c r="G384" s="311">
        <f>SUM(G385:G389)</f>
        <v>0</v>
      </c>
      <c r="H384" s="311">
        <f t="shared" si="16"/>
        <v>0</v>
      </c>
    </row>
    <row r="385" spans="1:8" ht="12.75">
      <c r="A385" s="337"/>
      <c r="B385" s="337"/>
      <c r="C385" s="341">
        <v>4010</v>
      </c>
      <c r="D385" s="342" t="s">
        <v>0</v>
      </c>
      <c r="E385" s="448">
        <v>916918</v>
      </c>
      <c r="F385" s="343">
        <v>872920</v>
      </c>
      <c r="G385" s="343"/>
      <c r="H385" s="343">
        <f t="shared" si="16"/>
        <v>0</v>
      </c>
    </row>
    <row r="386" spans="1:8" ht="12.75">
      <c r="A386" s="337"/>
      <c r="B386" s="337"/>
      <c r="C386" s="341">
        <v>4040</v>
      </c>
      <c r="D386" s="342" t="s">
        <v>5</v>
      </c>
      <c r="E386" s="448">
        <v>60764</v>
      </c>
      <c r="F386" s="343">
        <v>65217</v>
      </c>
      <c r="G386" s="343"/>
      <c r="H386" s="343">
        <f t="shared" si="16"/>
        <v>0</v>
      </c>
    </row>
    <row r="387" spans="1:8" ht="12.75">
      <c r="A387" s="337"/>
      <c r="B387" s="337"/>
      <c r="C387" s="341">
        <v>4110</v>
      </c>
      <c r="D387" s="342" t="s">
        <v>7</v>
      </c>
      <c r="E387" s="448">
        <v>168063</v>
      </c>
      <c r="F387" s="343">
        <v>160640</v>
      </c>
      <c r="G387" s="343"/>
      <c r="H387" s="343">
        <f t="shared" si="16"/>
        <v>0</v>
      </c>
    </row>
    <row r="388" spans="1:8" ht="12.75">
      <c r="A388" s="337"/>
      <c r="B388" s="337"/>
      <c r="C388" s="341">
        <v>4120</v>
      </c>
      <c r="D388" s="342" t="s">
        <v>1</v>
      </c>
      <c r="E388" s="448">
        <v>23953</v>
      </c>
      <c r="F388" s="343">
        <v>22895</v>
      </c>
      <c r="G388" s="343"/>
      <c r="H388" s="343">
        <f t="shared" si="16"/>
        <v>0</v>
      </c>
    </row>
    <row r="389" spans="1:8" ht="13.5" thickBot="1">
      <c r="A389" s="337"/>
      <c r="B389" s="337"/>
      <c r="C389" s="345">
        <v>4440</v>
      </c>
      <c r="D389" s="346" t="s">
        <v>8</v>
      </c>
      <c r="E389" s="449">
        <v>48411</v>
      </c>
      <c r="F389" s="347">
        <v>46273</v>
      </c>
      <c r="G389" s="347"/>
      <c r="H389" s="343">
        <f t="shared" si="16"/>
        <v>0</v>
      </c>
    </row>
    <row r="390" spans="1:8" ht="13.5" thickBot="1">
      <c r="A390" s="335"/>
      <c r="B390" s="330">
        <v>80130</v>
      </c>
      <c r="C390" s="330"/>
      <c r="D390" s="336" t="s">
        <v>69</v>
      </c>
      <c r="E390" s="446">
        <f>SUM(E391:E409)</f>
        <v>2463982</v>
      </c>
      <c r="F390" s="311">
        <f>SUM(F391:F409)</f>
        <v>2392659</v>
      </c>
      <c r="G390" s="311">
        <f>SUM(G391:G409)</f>
        <v>0</v>
      </c>
      <c r="H390" s="311">
        <f t="shared" si="16"/>
        <v>0</v>
      </c>
    </row>
    <row r="391" spans="1:8" ht="12.75">
      <c r="A391" s="337"/>
      <c r="B391" s="337"/>
      <c r="C391" s="338">
        <v>3020</v>
      </c>
      <c r="D391" s="339" t="s">
        <v>101</v>
      </c>
      <c r="E391" s="448">
        <v>5320</v>
      </c>
      <c r="F391" s="343">
        <v>11582</v>
      </c>
      <c r="G391" s="343"/>
      <c r="H391" s="343">
        <f t="shared" si="16"/>
        <v>0</v>
      </c>
    </row>
    <row r="392" spans="1:8" ht="12.75">
      <c r="A392" s="337"/>
      <c r="B392" s="337"/>
      <c r="C392" s="341">
        <v>4010</v>
      </c>
      <c r="D392" s="342" t="s">
        <v>0</v>
      </c>
      <c r="E392" s="448">
        <v>1611493</v>
      </c>
      <c r="F392" s="343">
        <v>1531427</v>
      </c>
      <c r="G392" s="343"/>
      <c r="H392" s="343">
        <f t="shared" si="16"/>
        <v>0</v>
      </c>
    </row>
    <row r="393" spans="1:8" ht="12.75">
      <c r="A393" s="337"/>
      <c r="B393" s="337"/>
      <c r="C393" s="341">
        <v>4040</v>
      </c>
      <c r="D393" s="342" t="s">
        <v>5</v>
      </c>
      <c r="E393" s="448">
        <v>151736</v>
      </c>
      <c r="F393" s="343">
        <v>124195</v>
      </c>
      <c r="G393" s="343"/>
      <c r="H393" s="343">
        <f t="shared" si="16"/>
        <v>0</v>
      </c>
    </row>
    <row r="394" spans="1:8" ht="12.75">
      <c r="A394" s="337"/>
      <c r="B394" s="337"/>
      <c r="C394" s="341">
        <v>4110</v>
      </c>
      <c r="D394" s="342" t="s">
        <v>7</v>
      </c>
      <c r="E394" s="448">
        <v>303100</v>
      </c>
      <c r="F394" s="343">
        <v>291238</v>
      </c>
      <c r="G394" s="343"/>
      <c r="H394" s="343">
        <f t="shared" si="16"/>
        <v>0</v>
      </c>
    </row>
    <row r="395" spans="1:8" ht="12.75">
      <c r="A395" s="337"/>
      <c r="B395" s="337"/>
      <c r="C395" s="341">
        <v>4120</v>
      </c>
      <c r="D395" s="342" t="s">
        <v>1</v>
      </c>
      <c r="E395" s="448">
        <v>43199</v>
      </c>
      <c r="F395" s="343">
        <v>41508</v>
      </c>
      <c r="G395" s="343"/>
      <c r="H395" s="343">
        <f t="shared" si="16"/>
        <v>0</v>
      </c>
    </row>
    <row r="396" spans="1:8" ht="12.75">
      <c r="A396" s="337"/>
      <c r="B396" s="337"/>
      <c r="C396" s="341">
        <v>4170</v>
      </c>
      <c r="D396" s="342" t="s">
        <v>102</v>
      </c>
      <c r="E396" s="448">
        <v>2000</v>
      </c>
      <c r="F396" s="343">
        <v>2000</v>
      </c>
      <c r="G396" s="343"/>
      <c r="H396" s="343">
        <f t="shared" si="16"/>
        <v>0</v>
      </c>
    </row>
    <row r="397" spans="1:8" ht="12.75">
      <c r="A397" s="337"/>
      <c r="B397" s="337"/>
      <c r="C397" s="341">
        <v>4210</v>
      </c>
      <c r="D397" s="342" t="s">
        <v>44</v>
      </c>
      <c r="E397" s="448">
        <v>33840</v>
      </c>
      <c r="F397" s="343">
        <v>58822</v>
      </c>
      <c r="G397" s="343"/>
      <c r="H397" s="343">
        <f aca="true" t="shared" si="17" ref="H397:H414">G397/F397*100</f>
        <v>0</v>
      </c>
    </row>
    <row r="398" spans="1:8" ht="12.75">
      <c r="A398" s="337"/>
      <c r="B398" s="337"/>
      <c r="C398" s="341">
        <v>4240</v>
      </c>
      <c r="D398" s="342" t="s">
        <v>53</v>
      </c>
      <c r="E398" s="448">
        <v>5000</v>
      </c>
      <c r="F398" s="343">
        <v>7684</v>
      </c>
      <c r="G398" s="343"/>
      <c r="H398" s="343">
        <f t="shared" si="17"/>
        <v>0</v>
      </c>
    </row>
    <row r="399" spans="1:8" ht="12.75">
      <c r="A399" s="337"/>
      <c r="B399" s="337"/>
      <c r="C399" s="341">
        <v>4260</v>
      </c>
      <c r="D399" s="342" t="s">
        <v>45</v>
      </c>
      <c r="E399" s="448">
        <v>139643</v>
      </c>
      <c r="F399" s="343">
        <v>155661</v>
      </c>
      <c r="G399" s="343"/>
      <c r="H399" s="343">
        <f t="shared" si="17"/>
        <v>0</v>
      </c>
    </row>
    <row r="400" spans="1:8" ht="12.75">
      <c r="A400" s="337"/>
      <c r="B400" s="337"/>
      <c r="C400" s="341">
        <v>4270</v>
      </c>
      <c r="D400" s="377" t="s">
        <v>46</v>
      </c>
      <c r="E400" s="448">
        <v>5766</v>
      </c>
      <c r="F400" s="343">
        <v>6489</v>
      </c>
      <c r="G400" s="343"/>
      <c r="H400" s="343">
        <f t="shared" si="17"/>
        <v>0</v>
      </c>
    </row>
    <row r="401" spans="1:8" ht="12.75">
      <c r="A401" s="337"/>
      <c r="B401" s="337"/>
      <c r="C401" s="341">
        <v>4280</v>
      </c>
      <c r="D401" s="378" t="s">
        <v>75</v>
      </c>
      <c r="E401" s="448">
        <v>1045</v>
      </c>
      <c r="F401" s="343">
        <v>1185</v>
      </c>
      <c r="G401" s="343"/>
      <c r="H401" s="343">
        <f t="shared" si="17"/>
        <v>0</v>
      </c>
    </row>
    <row r="402" spans="1:8" ht="12.75">
      <c r="A402" s="337"/>
      <c r="B402" s="337"/>
      <c r="C402" s="341">
        <v>4300</v>
      </c>
      <c r="D402" s="342" t="s">
        <v>43</v>
      </c>
      <c r="E402" s="448">
        <v>46471</v>
      </c>
      <c r="F402" s="343">
        <v>48652</v>
      </c>
      <c r="G402" s="343"/>
      <c r="H402" s="343">
        <f t="shared" si="17"/>
        <v>0</v>
      </c>
    </row>
    <row r="403" spans="1:8" ht="12.75" hidden="1">
      <c r="A403" s="337"/>
      <c r="B403" s="337"/>
      <c r="C403" s="341">
        <v>4350</v>
      </c>
      <c r="D403" s="349" t="s">
        <v>110</v>
      </c>
      <c r="E403" s="448">
        <v>2904</v>
      </c>
      <c r="F403" s="343"/>
      <c r="G403" s="343"/>
      <c r="H403" s="343" t="e">
        <f t="shared" si="17"/>
        <v>#DIV/0!</v>
      </c>
    </row>
    <row r="404" spans="1:8" ht="12.75">
      <c r="A404" s="337"/>
      <c r="B404" s="337"/>
      <c r="C404" s="624">
        <v>4360</v>
      </c>
      <c r="D404" s="625" t="s">
        <v>612</v>
      </c>
      <c r="E404" s="449">
        <v>984</v>
      </c>
      <c r="F404" s="347">
        <v>6308</v>
      </c>
      <c r="G404" s="347"/>
      <c r="H404" s="347">
        <f t="shared" si="17"/>
        <v>0</v>
      </c>
    </row>
    <row r="405" spans="1:8" ht="38.25" hidden="1">
      <c r="A405" s="337"/>
      <c r="B405" s="337"/>
      <c r="C405" s="345">
        <v>4370</v>
      </c>
      <c r="D405" s="350" t="s">
        <v>598</v>
      </c>
      <c r="E405" s="449">
        <v>5000</v>
      </c>
      <c r="F405" s="347"/>
      <c r="G405" s="347"/>
      <c r="H405" s="347" t="e">
        <f t="shared" si="17"/>
        <v>#DIV/0!</v>
      </c>
    </row>
    <row r="406" spans="1:8" ht="12.75">
      <c r="A406" s="337"/>
      <c r="B406" s="337"/>
      <c r="C406" s="341">
        <v>4410</v>
      </c>
      <c r="D406" s="342" t="s">
        <v>6</v>
      </c>
      <c r="E406" s="448">
        <v>3000</v>
      </c>
      <c r="F406" s="343">
        <v>3057</v>
      </c>
      <c r="G406" s="343"/>
      <c r="H406" s="343">
        <f t="shared" si="17"/>
        <v>0</v>
      </c>
    </row>
    <row r="407" spans="1:8" ht="12.75">
      <c r="A407" s="337"/>
      <c r="B407" s="337"/>
      <c r="C407" s="341">
        <v>4430</v>
      </c>
      <c r="D407" s="342" t="s">
        <v>3</v>
      </c>
      <c r="E407" s="448">
        <v>15800</v>
      </c>
      <c r="F407" s="343">
        <v>19787</v>
      </c>
      <c r="G407" s="343"/>
      <c r="H407" s="343">
        <f t="shared" si="17"/>
        <v>0</v>
      </c>
    </row>
    <row r="408" spans="1:8" ht="12.75">
      <c r="A408" s="337"/>
      <c r="B408" s="337"/>
      <c r="C408" s="341">
        <v>4440</v>
      </c>
      <c r="D408" s="342" t="s">
        <v>8</v>
      </c>
      <c r="E408" s="448">
        <v>86481</v>
      </c>
      <c r="F408" s="343">
        <v>81574</v>
      </c>
      <c r="G408" s="343"/>
      <c r="H408" s="343">
        <f t="shared" si="17"/>
        <v>0</v>
      </c>
    </row>
    <row r="409" spans="1:8" ht="26.25" thickBot="1">
      <c r="A409" s="337"/>
      <c r="B409" s="337"/>
      <c r="C409" s="345">
        <v>4700</v>
      </c>
      <c r="D409" s="352" t="s">
        <v>406</v>
      </c>
      <c r="E409" s="449">
        <v>1200</v>
      </c>
      <c r="F409" s="347">
        <v>1490</v>
      </c>
      <c r="G409" s="347"/>
      <c r="H409" s="347">
        <f t="shared" si="17"/>
        <v>0</v>
      </c>
    </row>
    <row r="410" spans="1:8" ht="13.5" thickBot="1">
      <c r="A410" s="337"/>
      <c r="B410" s="330">
        <v>80146</v>
      </c>
      <c r="C410" s="330"/>
      <c r="D410" s="336" t="s">
        <v>107</v>
      </c>
      <c r="E410" s="446">
        <f>SUM(E411:E414)</f>
        <v>0</v>
      </c>
      <c r="F410" s="311">
        <f>SUM(F411:F414)</f>
        <v>22803</v>
      </c>
      <c r="G410" s="311">
        <f>SUM(G411:G414)</f>
        <v>0</v>
      </c>
      <c r="H410" s="311">
        <f t="shared" si="17"/>
        <v>0</v>
      </c>
    </row>
    <row r="411" spans="1:8" ht="12.75">
      <c r="A411" s="337"/>
      <c r="B411" s="337"/>
      <c r="C411" s="341">
        <v>4210</v>
      </c>
      <c r="D411" s="342" t="s">
        <v>44</v>
      </c>
      <c r="E411" s="448"/>
      <c r="F411" s="343">
        <v>2500</v>
      </c>
      <c r="G411" s="343"/>
      <c r="H411" s="343">
        <f t="shared" si="17"/>
        <v>0</v>
      </c>
    </row>
    <row r="412" spans="1:8" ht="12.75">
      <c r="A412" s="337"/>
      <c r="B412" s="337"/>
      <c r="C412" s="341">
        <v>4300</v>
      </c>
      <c r="D412" s="342" t="s">
        <v>43</v>
      </c>
      <c r="E412" s="448"/>
      <c r="F412" s="343">
        <v>4200</v>
      </c>
      <c r="G412" s="343"/>
      <c r="H412" s="343">
        <f t="shared" si="17"/>
        <v>0</v>
      </c>
    </row>
    <row r="413" spans="1:8" ht="12.75">
      <c r="A413" s="337"/>
      <c r="B413" s="337"/>
      <c r="C413" s="341">
        <v>4410</v>
      </c>
      <c r="D413" s="342" t="s">
        <v>6</v>
      </c>
      <c r="E413" s="448"/>
      <c r="F413" s="343">
        <v>4000</v>
      </c>
      <c r="G413" s="343"/>
      <c r="H413" s="343">
        <f t="shared" si="17"/>
        <v>0</v>
      </c>
    </row>
    <row r="414" spans="1:8" ht="26.25" thickBot="1">
      <c r="A414" s="337"/>
      <c r="B414" s="337"/>
      <c r="C414" s="345">
        <v>4700</v>
      </c>
      <c r="D414" s="352" t="s">
        <v>406</v>
      </c>
      <c r="E414" s="449"/>
      <c r="F414" s="347">
        <v>12103</v>
      </c>
      <c r="G414" s="347"/>
      <c r="H414" s="347">
        <f t="shared" si="17"/>
        <v>0</v>
      </c>
    </row>
    <row r="415" spans="1:8" ht="64.5" thickBot="1">
      <c r="A415" s="337"/>
      <c r="B415" s="330">
        <v>80150</v>
      </c>
      <c r="C415" s="368"/>
      <c r="D415" s="357" t="s">
        <v>611</v>
      </c>
      <c r="E415" s="446">
        <f>SUM(E416:E426)</f>
        <v>0</v>
      </c>
      <c r="F415" s="311">
        <f>SUM(F416:F426)</f>
        <v>151903</v>
      </c>
      <c r="G415" s="311">
        <f>SUM(G416:G426)</f>
        <v>0</v>
      </c>
      <c r="H415" s="362">
        <f aca="true" t="shared" si="18" ref="H415:H426">G415/F415*100</f>
        <v>0</v>
      </c>
    </row>
    <row r="416" spans="1:8" ht="12.75">
      <c r="A416" s="337"/>
      <c r="B416" s="337"/>
      <c r="C416" s="338">
        <v>3020</v>
      </c>
      <c r="D416" s="339" t="s">
        <v>101</v>
      </c>
      <c r="E416" s="450">
        <v>0</v>
      </c>
      <c r="F416" s="358">
        <v>5000</v>
      </c>
      <c r="G416" s="351"/>
      <c r="H416" s="380">
        <f t="shared" si="18"/>
        <v>0</v>
      </c>
    </row>
    <row r="417" spans="1:8" ht="12.75">
      <c r="A417" s="337"/>
      <c r="B417" s="337"/>
      <c r="C417" s="757">
        <v>4010</v>
      </c>
      <c r="D417" s="349" t="s">
        <v>0</v>
      </c>
      <c r="E417" s="448">
        <v>0</v>
      </c>
      <c r="F417" s="343">
        <v>104990</v>
      </c>
      <c r="G417" s="376"/>
      <c r="H417" s="343">
        <f>G417/F417*100</f>
        <v>0</v>
      </c>
    </row>
    <row r="418" spans="1:8" ht="12.75">
      <c r="A418" s="337"/>
      <c r="B418" s="337"/>
      <c r="C418" s="375">
        <v>4110</v>
      </c>
      <c r="D418" s="349" t="s">
        <v>7</v>
      </c>
      <c r="E418" s="448">
        <v>0</v>
      </c>
      <c r="F418" s="343">
        <v>19285</v>
      </c>
      <c r="G418" s="481"/>
      <c r="H418" s="347">
        <f t="shared" si="18"/>
        <v>0</v>
      </c>
    </row>
    <row r="419" spans="1:8" ht="12.75">
      <c r="A419" s="337"/>
      <c r="B419" s="337"/>
      <c r="C419" s="375">
        <v>4120</v>
      </c>
      <c r="D419" s="349" t="s">
        <v>1</v>
      </c>
      <c r="E419" s="448">
        <v>0</v>
      </c>
      <c r="F419" s="343">
        <v>2749</v>
      </c>
      <c r="G419" s="481"/>
      <c r="H419" s="347">
        <f t="shared" si="18"/>
        <v>0</v>
      </c>
    </row>
    <row r="420" spans="1:8" ht="12.75">
      <c r="A420" s="337"/>
      <c r="B420" s="337"/>
      <c r="C420" s="375">
        <v>4210</v>
      </c>
      <c r="D420" s="377" t="s">
        <v>44</v>
      </c>
      <c r="E420" s="448">
        <v>0</v>
      </c>
      <c r="F420" s="343">
        <v>2324</v>
      </c>
      <c r="G420" s="481"/>
      <c r="H420" s="347">
        <f t="shared" si="18"/>
        <v>0</v>
      </c>
    </row>
    <row r="421" spans="1:8" ht="12.75">
      <c r="A421" s="337"/>
      <c r="B421" s="337"/>
      <c r="C421" s="375">
        <v>4240</v>
      </c>
      <c r="D421" s="349" t="s">
        <v>53</v>
      </c>
      <c r="E421" s="448">
        <v>0</v>
      </c>
      <c r="F421" s="343">
        <v>516</v>
      </c>
      <c r="G421" s="481"/>
      <c r="H421" s="347">
        <f t="shared" si="18"/>
        <v>0</v>
      </c>
    </row>
    <row r="422" spans="1:8" ht="12.75">
      <c r="A422" s="337"/>
      <c r="B422" s="337"/>
      <c r="C422" s="375">
        <v>4260</v>
      </c>
      <c r="D422" s="349" t="s">
        <v>45</v>
      </c>
      <c r="E422" s="448">
        <v>0</v>
      </c>
      <c r="F422" s="343">
        <v>7465</v>
      </c>
      <c r="G422" s="481"/>
      <c r="H422" s="347">
        <f t="shared" si="18"/>
        <v>0</v>
      </c>
    </row>
    <row r="423" spans="1:8" ht="12.75">
      <c r="A423" s="337"/>
      <c r="B423" s="337"/>
      <c r="C423" s="341">
        <v>4270</v>
      </c>
      <c r="D423" s="342" t="s">
        <v>46</v>
      </c>
      <c r="E423" s="448">
        <v>0</v>
      </c>
      <c r="F423" s="343">
        <v>264</v>
      </c>
      <c r="G423" s="481"/>
      <c r="H423" s="347">
        <f t="shared" si="18"/>
        <v>0</v>
      </c>
    </row>
    <row r="424" spans="1:8" ht="12.75">
      <c r="A424" s="337"/>
      <c r="B424" s="337"/>
      <c r="C424" s="375">
        <v>4300</v>
      </c>
      <c r="D424" s="349" t="s">
        <v>43</v>
      </c>
      <c r="E424" s="448">
        <v>0</v>
      </c>
      <c r="F424" s="343">
        <v>2684</v>
      </c>
      <c r="G424" s="481"/>
      <c r="H424" s="347">
        <f t="shared" si="18"/>
        <v>0</v>
      </c>
    </row>
    <row r="425" spans="1:8" ht="12.75">
      <c r="A425" s="337"/>
      <c r="B425" s="337"/>
      <c r="C425" s="375">
        <v>4430</v>
      </c>
      <c r="D425" s="349" t="s">
        <v>3</v>
      </c>
      <c r="E425" s="448">
        <v>0</v>
      </c>
      <c r="F425" s="343">
        <v>1103</v>
      </c>
      <c r="G425" s="481"/>
      <c r="H425" s="347">
        <f t="shared" si="18"/>
        <v>0</v>
      </c>
    </row>
    <row r="426" spans="1:8" ht="13.5" thickBot="1">
      <c r="A426" s="337"/>
      <c r="B426" s="306"/>
      <c r="C426" s="375">
        <v>4440</v>
      </c>
      <c r="D426" s="349" t="s">
        <v>8</v>
      </c>
      <c r="E426" s="466">
        <v>0</v>
      </c>
      <c r="F426" s="355">
        <v>5523</v>
      </c>
      <c r="G426" s="363"/>
      <c r="H426" s="347">
        <f t="shared" si="18"/>
        <v>0</v>
      </c>
    </row>
    <row r="427" spans="1:8" ht="13.5" thickBot="1">
      <c r="A427" s="337"/>
      <c r="B427" s="330">
        <v>80195</v>
      </c>
      <c r="C427" s="330"/>
      <c r="D427" s="357" t="s">
        <v>2</v>
      </c>
      <c r="E427" s="446">
        <f>SUM(E428:E428)</f>
        <v>0</v>
      </c>
      <c r="F427" s="311">
        <f>SUM(F428:F428)</f>
        <v>37856</v>
      </c>
      <c r="G427" s="311">
        <f>SUM(G428:G428)</f>
        <v>0</v>
      </c>
      <c r="H427" s="311">
        <f aca="true" t="shared" si="19" ref="H427:H432">G427/F427*100</f>
        <v>0</v>
      </c>
    </row>
    <row r="428" spans="1:8" ht="13.5" thickBot="1">
      <c r="A428" s="337"/>
      <c r="B428" s="337"/>
      <c r="C428" s="345">
        <v>4440</v>
      </c>
      <c r="D428" s="408" t="s">
        <v>8</v>
      </c>
      <c r="E428" s="449"/>
      <c r="F428" s="347">
        <v>37856</v>
      </c>
      <c r="G428" s="347"/>
      <c r="H428" s="347">
        <f t="shared" si="19"/>
        <v>0</v>
      </c>
    </row>
    <row r="429" spans="1:8" ht="39" thickBot="1">
      <c r="A429" s="359">
        <v>851</v>
      </c>
      <c r="B429" s="359">
        <v>85156</v>
      </c>
      <c r="C429" s="394"/>
      <c r="D429" s="437" t="s">
        <v>597</v>
      </c>
      <c r="E429" s="455">
        <f>E430</f>
        <v>0</v>
      </c>
      <c r="F429" s="312">
        <f>F430</f>
        <v>515</v>
      </c>
      <c r="G429" s="312">
        <f>G430</f>
        <v>0</v>
      </c>
      <c r="H429" s="312">
        <f t="shared" si="19"/>
        <v>0</v>
      </c>
    </row>
    <row r="430" spans="1:8" ht="13.5" thickBot="1">
      <c r="A430" s="306"/>
      <c r="B430" s="356"/>
      <c r="C430" s="356">
        <v>4130</v>
      </c>
      <c r="D430" s="438" t="s">
        <v>160</v>
      </c>
      <c r="E430" s="451">
        <v>0</v>
      </c>
      <c r="F430" s="362">
        <v>515</v>
      </c>
      <c r="G430" s="362"/>
      <c r="H430" s="362">
        <f t="shared" si="19"/>
        <v>0</v>
      </c>
    </row>
    <row r="431" spans="1:8" ht="13.5" thickBot="1">
      <c r="A431" s="359">
        <v>854</v>
      </c>
      <c r="B431" s="330">
        <v>85415</v>
      </c>
      <c r="C431" s="330"/>
      <c r="D431" s="357" t="s">
        <v>105</v>
      </c>
      <c r="E431" s="446">
        <f>SUM(E432:E432)</f>
        <v>0</v>
      </c>
      <c r="F431" s="311">
        <f>SUM(F432:F432)</f>
        <v>2400</v>
      </c>
      <c r="G431" s="311">
        <f>SUM(G432:G432)</f>
        <v>0</v>
      </c>
      <c r="H431" s="422">
        <f t="shared" si="19"/>
        <v>0</v>
      </c>
    </row>
    <row r="432" spans="1:8" ht="13.5" thickBot="1">
      <c r="A432" s="306"/>
      <c r="B432" s="329"/>
      <c r="C432" s="306">
        <v>3240</v>
      </c>
      <c r="D432" s="314" t="s">
        <v>155</v>
      </c>
      <c r="E432" s="466"/>
      <c r="F432" s="355">
        <v>2400</v>
      </c>
      <c r="G432" s="362"/>
      <c r="H432" s="426">
        <f t="shared" si="19"/>
        <v>0</v>
      </c>
    </row>
    <row r="433" spans="1:8" ht="12.75">
      <c r="A433" s="327"/>
      <c r="B433" s="327"/>
      <c r="C433" s="327"/>
      <c r="D433" s="326"/>
      <c r="E433" s="452"/>
      <c r="F433" s="351"/>
      <c r="G433" s="351"/>
      <c r="H433" s="351"/>
    </row>
    <row r="434" spans="1:8" ht="13.5" thickBot="1">
      <c r="A434" s="329"/>
      <c r="B434" s="329"/>
      <c r="C434" s="329"/>
      <c r="D434" s="328"/>
      <c r="E434" s="462"/>
      <c r="F434" s="363"/>
      <c r="G434" s="363"/>
      <c r="H434" s="351"/>
    </row>
    <row r="435" spans="1:8" ht="19.5" thickBot="1">
      <c r="A435" s="831" t="s">
        <v>164</v>
      </c>
      <c r="B435" s="832"/>
      <c r="C435" s="832"/>
      <c r="D435" s="832"/>
      <c r="E435" s="832"/>
      <c r="F435" s="832"/>
      <c r="G435" s="833"/>
      <c r="H435" s="365"/>
    </row>
    <row r="436" spans="1:8" s="366" customFormat="1" ht="19.5" thickBot="1">
      <c r="A436" s="359"/>
      <c r="B436" s="394"/>
      <c r="C436" s="394"/>
      <c r="D436" s="369" t="s">
        <v>10</v>
      </c>
      <c r="E436" s="458">
        <f>E437+E479+E481+E500+E459+E504+E502</f>
        <v>2551825</v>
      </c>
      <c r="F436" s="393">
        <f>F437+F479+F481+F500+F459+F504+F502+F464</f>
        <v>2595330</v>
      </c>
      <c r="G436" s="393">
        <f>G437+G479+G481+G500+G459+G504+G502+G464</f>
        <v>2495449.1399999997</v>
      </c>
      <c r="H436" s="370">
        <f aca="true" t="shared" si="20" ref="H436:H491">G436/F436*100</f>
        <v>96.15151599218595</v>
      </c>
    </row>
    <row r="437" spans="1:8" ht="13.5" thickBot="1">
      <c r="A437" s="359">
        <v>801</v>
      </c>
      <c r="B437" s="330">
        <v>80130</v>
      </c>
      <c r="C437" s="330"/>
      <c r="D437" s="336" t="s">
        <v>69</v>
      </c>
      <c r="E437" s="446">
        <f>SUM(E438:E458)</f>
        <v>2163855</v>
      </c>
      <c r="F437" s="311">
        <f>SUM(F438:F458)</f>
        <v>2085369</v>
      </c>
      <c r="G437" s="311">
        <f>SUM(G438:G458)</f>
        <v>1991508.0099999998</v>
      </c>
      <c r="H437" s="311">
        <f t="shared" si="20"/>
        <v>95.49907042830309</v>
      </c>
    </row>
    <row r="438" spans="1:8" s="348" customFormat="1" ht="12.75">
      <c r="A438" s="337"/>
      <c r="B438" s="337"/>
      <c r="C438" s="338">
        <v>3020</v>
      </c>
      <c r="D438" s="339" t="s">
        <v>101</v>
      </c>
      <c r="E438" s="447">
        <v>114558</v>
      </c>
      <c r="F438" s="340">
        <v>116418</v>
      </c>
      <c r="G438" s="340">
        <v>116418.46</v>
      </c>
      <c r="H438" s="340">
        <f t="shared" si="20"/>
        <v>100.0003951279012</v>
      </c>
    </row>
    <row r="439" spans="1:8" ht="12.75">
      <c r="A439" s="337"/>
      <c r="B439" s="337"/>
      <c r="C439" s="341">
        <v>4010</v>
      </c>
      <c r="D439" s="342" t="s">
        <v>0</v>
      </c>
      <c r="E439" s="448">
        <v>1350687</v>
      </c>
      <c r="F439" s="343">
        <v>1297559</v>
      </c>
      <c r="G439" s="343">
        <v>1222388.63</v>
      </c>
      <c r="H439" s="343">
        <f t="shared" si="20"/>
        <v>94.20678597273803</v>
      </c>
    </row>
    <row r="440" spans="1:8" ht="12.75">
      <c r="A440" s="337"/>
      <c r="B440" s="337"/>
      <c r="C440" s="341">
        <v>4040</v>
      </c>
      <c r="D440" s="342" t="s">
        <v>5</v>
      </c>
      <c r="E440" s="448">
        <v>123012</v>
      </c>
      <c r="F440" s="343">
        <v>109395</v>
      </c>
      <c r="G440" s="343">
        <v>109394.19</v>
      </c>
      <c r="H440" s="343">
        <f t="shared" si="20"/>
        <v>99.99925956396545</v>
      </c>
    </row>
    <row r="441" spans="1:8" ht="12.75">
      <c r="A441" s="337"/>
      <c r="B441" s="337"/>
      <c r="C441" s="341">
        <v>4110</v>
      </c>
      <c r="D441" s="342" t="s">
        <v>7</v>
      </c>
      <c r="E441" s="448">
        <v>269613</v>
      </c>
      <c r="F441" s="343">
        <v>258879</v>
      </c>
      <c r="G441" s="343">
        <v>248552.09</v>
      </c>
      <c r="H441" s="343">
        <f t="shared" si="20"/>
        <v>96.01091243399425</v>
      </c>
    </row>
    <row r="442" spans="1:8" ht="12.75">
      <c r="A442" s="337"/>
      <c r="B442" s="337"/>
      <c r="C442" s="341">
        <v>4120</v>
      </c>
      <c r="D442" s="342" t="s">
        <v>1</v>
      </c>
      <c r="E442" s="448">
        <v>38415</v>
      </c>
      <c r="F442" s="343">
        <v>36885</v>
      </c>
      <c r="G442" s="343">
        <v>28521.35</v>
      </c>
      <c r="H442" s="343">
        <f t="shared" si="20"/>
        <v>77.32506438931814</v>
      </c>
    </row>
    <row r="443" spans="1:8" ht="12.75" hidden="1">
      <c r="A443" s="337"/>
      <c r="B443" s="337"/>
      <c r="C443" s="341">
        <v>4170</v>
      </c>
      <c r="D443" s="342" t="s">
        <v>102</v>
      </c>
      <c r="E443" s="448">
        <v>4014</v>
      </c>
      <c r="F443" s="343"/>
      <c r="G443" s="343"/>
      <c r="H443" s="343" t="e">
        <f>G443/F443*100</f>
        <v>#DIV/0!</v>
      </c>
    </row>
    <row r="444" spans="1:8" ht="12.75">
      <c r="A444" s="337"/>
      <c r="B444" s="337"/>
      <c r="C444" s="341">
        <v>4210</v>
      </c>
      <c r="D444" s="342" t="s">
        <v>44</v>
      </c>
      <c r="E444" s="448">
        <v>20290</v>
      </c>
      <c r="F444" s="343">
        <v>30043</v>
      </c>
      <c r="G444" s="343">
        <v>30043.38</v>
      </c>
      <c r="H444" s="343">
        <f t="shared" si="20"/>
        <v>100.00126485370969</v>
      </c>
    </row>
    <row r="445" spans="1:8" ht="12.75">
      <c r="A445" s="337"/>
      <c r="B445" s="337"/>
      <c r="C445" s="341">
        <v>4240</v>
      </c>
      <c r="D445" s="342" t="s">
        <v>53</v>
      </c>
      <c r="E445" s="448">
        <v>3940</v>
      </c>
      <c r="F445" s="343">
        <v>1767</v>
      </c>
      <c r="G445" s="343">
        <v>1767</v>
      </c>
      <c r="H445" s="343">
        <f t="shared" si="20"/>
        <v>100</v>
      </c>
    </row>
    <row r="446" spans="1:8" ht="12.75">
      <c r="A446" s="337"/>
      <c r="B446" s="337"/>
      <c r="C446" s="341">
        <v>4260</v>
      </c>
      <c r="D446" s="342" t="s">
        <v>45</v>
      </c>
      <c r="E446" s="448">
        <v>115840</v>
      </c>
      <c r="F446" s="343">
        <v>108973</v>
      </c>
      <c r="G446" s="343">
        <v>108973</v>
      </c>
      <c r="H446" s="343">
        <f t="shared" si="20"/>
        <v>100</v>
      </c>
    </row>
    <row r="447" spans="1:8" ht="12.75">
      <c r="A447" s="337"/>
      <c r="B447" s="337"/>
      <c r="C447" s="341">
        <v>4270</v>
      </c>
      <c r="D447" s="377" t="s">
        <v>46</v>
      </c>
      <c r="E447" s="448">
        <v>10000</v>
      </c>
      <c r="F447" s="343">
        <v>9645</v>
      </c>
      <c r="G447" s="343">
        <v>9645</v>
      </c>
      <c r="H447" s="343">
        <f t="shared" si="20"/>
        <v>100</v>
      </c>
    </row>
    <row r="448" spans="1:8" ht="12.75">
      <c r="A448" s="337"/>
      <c r="B448" s="337"/>
      <c r="C448" s="341">
        <v>4280</v>
      </c>
      <c r="D448" s="378" t="s">
        <v>75</v>
      </c>
      <c r="E448" s="448">
        <v>2110</v>
      </c>
      <c r="F448" s="343">
        <v>1640</v>
      </c>
      <c r="G448" s="343">
        <v>1640</v>
      </c>
      <c r="H448" s="343">
        <f t="shared" si="20"/>
        <v>100</v>
      </c>
    </row>
    <row r="449" spans="1:8" ht="12.75">
      <c r="A449" s="337"/>
      <c r="B449" s="337"/>
      <c r="C449" s="341">
        <v>4300</v>
      </c>
      <c r="D449" s="342" t="s">
        <v>43</v>
      </c>
      <c r="E449" s="448">
        <v>30813</v>
      </c>
      <c r="F449" s="343">
        <v>34993</v>
      </c>
      <c r="G449" s="343">
        <v>34993</v>
      </c>
      <c r="H449" s="343">
        <f t="shared" si="20"/>
        <v>100</v>
      </c>
    </row>
    <row r="450" spans="1:8" ht="12.75" hidden="1">
      <c r="A450" s="337"/>
      <c r="B450" s="337"/>
      <c r="C450" s="341">
        <v>4350</v>
      </c>
      <c r="D450" s="349" t="s">
        <v>110</v>
      </c>
      <c r="E450" s="448">
        <v>714</v>
      </c>
      <c r="F450" s="343"/>
      <c r="G450" s="343"/>
      <c r="H450" s="343" t="e">
        <f t="shared" si="20"/>
        <v>#DIV/0!</v>
      </c>
    </row>
    <row r="451" spans="1:8" ht="12.75">
      <c r="A451" s="337"/>
      <c r="B451" s="337"/>
      <c r="C451" s="624">
        <v>4360</v>
      </c>
      <c r="D451" s="625" t="s">
        <v>612</v>
      </c>
      <c r="E451" s="449"/>
      <c r="F451" s="347">
        <v>3945</v>
      </c>
      <c r="G451" s="347">
        <v>3944.91</v>
      </c>
      <c r="H451" s="343">
        <f t="shared" si="20"/>
        <v>99.9977186311787</v>
      </c>
    </row>
    <row r="452" spans="1:8" ht="38.25" hidden="1">
      <c r="A452" s="337"/>
      <c r="B452" s="337"/>
      <c r="C452" s="345">
        <v>4370</v>
      </c>
      <c r="D452" s="350" t="s">
        <v>598</v>
      </c>
      <c r="E452" s="449">
        <v>4094</v>
      </c>
      <c r="F452" s="347"/>
      <c r="G452" s="347"/>
      <c r="H452" s="347" t="e">
        <f t="shared" si="20"/>
        <v>#DIV/0!</v>
      </c>
    </row>
    <row r="453" spans="1:8" ht="12.75">
      <c r="A453" s="337"/>
      <c r="B453" s="337"/>
      <c r="C453" s="341">
        <v>4410</v>
      </c>
      <c r="D453" s="427" t="s">
        <v>6</v>
      </c>
      <c r="E453" s="448">
        <v>928</v>
      </c>
      <c r="F453" s="343">
        <v>878</v>
      </c>
      <c r="G453" s="343">
        <v>878</v>
      </c>
      <c r="H453" s="343">
        <f t="shared" si="20"/>
        <v>100</v>
      </c>
    </row>
    <row r="454" spans="1:8" ht="12.75">
      <c r="A454" s="337"/>
      <c r="B454" s="337"/>
      <c r="C454" s="341">
        <v>4430</v>
      </c>
      <c r="D454" s="342" t="s">
        <v>3</v>
      </c>
      <c r="E454" s="448">
        <v>3820</v>
      </c>
      <c r="F454" s="343">
        <v>5379</v>
      </c>
      <c r="G454" s="343">
        <v>5379</v>
      </c>
      <c r="H454" s="343">
        <f t="shared" si="20"/>
        <v>100</v>
      </c>
    </row>
    <row r="455" spans="1:8" ht="12.75">
      <c r="A455" s="337"/>
      <c r="B455" s="337"/>
      <c r="C455" s="341">
        <v>4440</v>
      </c>
      <c r="D455" s="342" t="s">
        <v>8</v>
      </c>
      <c r="E455" s="449">
        <v>67950</v>
      </c>
      <c r="F455" s="347">
        <v>66323</v>
      </c>
      <c r="G455" s="347">
        <v>66323</v>
      </c>
      <c r="H455" s="343">
        <f t="shared" si="20"/>
        <v>100</v>
      </c>
    </row>
    <row r="456" spans="1:8" ht="12.75" hidden="1">
      <c r="A456" s="337"/>
      <c r="B456" s="337"/>
      <c r="C456" s="345">
        <v>4510</v>
      </c>
      <c r="D456" s="346" t="s">
        <v>505</v>
      </c>
      <c r="E456" s="449">
        <v>410</v>
      </c>
      <c r="F456" s="347"/>
      <c r="G456" s="347"/>
      <c r="H456" s="347" t="e">
        <f t="shared" si="20"/>
        <v>#DIV/0!</v>
      </c>
    </row>
    <row r="457" spans="1:8" ht="12.75">
      <c r="A457" s="337"/>
      <c r="B457" s="337"/>
      <c r="C457" s="345">
        <v>4530</v>
      </c>
      <c r="D457" s="346" t="s">
        <v>106</v>
      </c>
      <c r="E457" s="449">
        <v>1647</v>
      </c>
      <c r="F457" s="347">
        <v>1647</v>
      </c>
      <c r="G457" s="347">
        <v>1647</v>
      </c>
      <c r="H457" s="347">
        <f t="shared" si="20"/>
        <v>100</v>
      </c>
    </row>
    <row r="458" spans="1:8" ht="26.25" thickBot="1">
      <c r="A458" s="337"/>
      <c r="B458" s="337"/>
      <c r="C458" s="345">
        <v>4700</v>
      </c>
      <c r="D458" s="352" t="s">
        <v>406</v>
      </c>
      <c r="E458" s="449">
        <v>1000</v>
      </c>
      <c r="F458" s="347">
        <v>1000</v>
      </c>
      <c r="G458" s="347">
        <v>1000</v>
      </c>
      <c r="H458" s="347">
        <f t="shared" si="20"/>
        <v>100</v>
      </c>
    </row>
    <row r="459" spans="1:8" ht="13.5" thickBot="1">
      <c r="A459" s="337"/>
      <c r="B459" s="359">
        <v>80146</v>
      </c>
      <c r="C459" s="330"/>
      <c r="D459" s="336" t="s">
        <v>107</v>
      </c>
      <c r="E459" s="446">
        <f>SUM(E460:E463)</f>
        <v>0</v>
      </c>
      <c r="F459" s="311">
        <f>SUM(F460:F463)</f>
        <v>12088</v>
      </c>
      <c r="G459" s="311">
        <f>SUM(G460:G463)</f>
        <v>9508.02</v>
      </c>
      <c r="H459" s="311">
        <f t="shared" si="20"/>
        <v>78.65668431502316</v>
      </c>
    </row>
    <row r="460" spans="1:8" s="348" customFormat="1" ht="12.75">
      <c r="A460" s="335"/>
      <c r="B460" s="359"/>
      <c r="C460" s="338">
        <v>4210</v>
      </c>
      <c r="D460" s="339" t="s">
        <v>44</v>
      </c>
      <c r="E460" s="447"/>
      <c r="F460" s="340">
        <v>5427</v>
      </c>
      <c r="G460" s="340">
        <v>5427.4</v>
      </c>
      <c r="H460" s="340">
        <f t="shared" si="20"/>
        <v>100.00737055463422</v>
      </c>
    </row>
    <row r="461" spans="1:8" s="348" customFormat="1" ht="12.75">
      <c r="A461" s="335"/>
      <c r="B461" s="335"/>
      <c r="C461" s="341">
        <v>4300</v>
      </c>
      <c r="D461" s="342" t="s">
        <v>43</v>
      </c>
      <c r="E461" s="448"/>
      <c r="F461" s="343">
        <v>2300</v>
      </c>
      <c r="G461" s="343">
        <v>2300</v>
      </c>
      <c r="H461" s="343">
        <f t="shared" si="20"/>
        <v>100</v>
      </c>
    </row>
    <row r="462" spans="1:8" s="348" customFormat="1" ht="12.75">
      <c r="A462" s="335"/>
      <c r="B462" s="335"/>
      <c r="C462" s="341">
        <v>4410</v>
      </c>
      <c r="D462" s="342" t="s">
        <v>6</v>
      </c>
      <c r="E462" s="448"/>
      <c r="F462" s="343">
        <v>691</v>
      </c>
      <c r="G462" s="343">
        <v>690.62</v>
      </c>
      <c r="H462" s="343">
        <f t="shared" si="20"/>
        <v>99.94500723589002</v>
      </c>
    </row>
    <row r="463" spans="1:8" s="348" customFormat="1" ht="26.25" thickBot="1">
      <c r="A463" s="335"/>
      <c r="B463" s="335"/>
      <c r="C463" s="345">
        <v>4700</v>
      </c>
      <c r="D463" s="352" t="s">
        <v>406</v>
      </c>
      <c r="E463" s="449"/>
      <c r="F463" s="347">
        <v>3670</v>
      </c>
      <c r="G463" s="347">
        <v>1090</v>
      </c>
      <c r="H463" s="347">
        <f t="shared" si="20"/>
        <v>29.70027247956403</v>
      </c>
    </row>
    <row r="464" spans="1:8" s="348" customFormat="1" ht="64.5" thickBot="1">
      <c r="A464" s="335"/>
      <c r="B464" s="330">
        <v>80150</v>
      </c>
      <c r="C464" s="368"/>
      <c r="D464" s="357" t="s">
        <v>611</v>
      </c>
      <c r="E464" s="446">
        <f>SUM(E465:E478)</f>
        <v>0</v>
      </c>
      <c r="F464" s="311">
        <f>SUM(F465:F478)</f>
        <v>82460</v>
      </c>
      <c r="G464" s="311">
        <f>SUM(G465:G478)</f>
        <v>82460</v>
      </c>
      <c r="H464" s="362">
        <f t="shared" si="20"/>
        <v>100</v>
      </c>
    </row>
    <row r="465" spans="1:8" s="348" customFormat="1" ht="12.75">
      <c r="A465" s="335"/>
      <c r="B465" s="337"/>
      <c r="C465" s="338">
        <v>3020</v>
      </c>
      <c r="D465" s="339" t="s">
        <v>101</v>
      </c>
      <c r="E465" s="450">
        <v>0</v>
      </c>
      <c r="F465" s="358">
        <v>4216</v>
      </c>
      <c r="G465" s="351">
        <v>4216</v>
      </c>
      <c r="H465" s="380">
        <f t="shared" si="20"/>
        <v>100</v>
      </c>
    </row>
    <row r="466" spans="1:8" s="348" customFormat="1" ht="12.75">
      <c r="A466" s="335"/>
      <c r="B466" s="337"/>
      <c r="C466" s="341">
        <v>4010</v>
      </c>
      <c r="D466" s="342" t="s">
        <v>0</v>
      </c>
      <c r="E466" s="448"/>
      <c r="F466" s="343">
        <v>54181</v>
      </c>
      <c r="G466" s="376">
        <v>54181</v>
      </c>
      <c r="H466" s="347">
        <f t="shared" si="20"/>
        <v>100</v>
      </c>
    </row>
    <row r="467" spans="1:8" s="348" customFormat="1" ht="12.75">
      <c r="A467" s="335"/>
      <c r="B467" s="337"/>
      <c r="C467" s="375">
        <v>4110</v>
      </c>
      <c r="D467" s="349" t="s">
        <v>7</v>
      </c>
      <c r="E467" s="448">
        <v>0</v>
      </c>
      <c r="F467" s="343">
        <v>10734</v>
      </c>
      <c r="G467" s="481">
        <v>10734</v>
      </c>
      <c r="H467" s="347">
        <f t="shared" si="20"/>
        <v>100</v>
      </c>
    </row>
    <row r="468" spans="1:8" s="348" customFormat="1" ht="12.75">
      <c r="A468" s="335"/>
      <c r="B468" s="337"/>
      <c r="C468" s="375">
        <v>4120</v>
      </c>
      <c r="D468" s="349" t="s">
        <v>1</v>
      </c>
      <c r="E468" s="448">
        <v>0</v>
      </c>
      <c r="F468" s="343">
        <v>1530</v>
      </c>
      <c r="G468" s="481">
        <v>1530</v>
      </c>
      <c r="H468" s="347">
        <f t="shared" si="20"/>
        <v>100</v>
      </c>
    </row>
    <row r="469" spans="1:8" s="348" customFormat="1" ht="12.75">
      <c r="A469" s="335"/>
      <c r="B469" s="337"/>
      <c r="C469" s="375">
        <v>4210</v>
      </c>
      <c r="D469" s="377" t="s">
        <v>44</v>
      </c>
      <c r="E469" s="448">
        <v>0</v>
      </c>
      <c r="F469" s="343">
        <v>738</v>
      </c>
      <c r="G469" s="481">
        <v>738</v>
      </c>
      <c r="H469" s="347">
        <f t="shared" si="20"/>
        <v>100</v>
      </c>
    </row>
    <row r="470" spans="1:8" s="348" customFormat="1" ht="12.75">
      <c r="A470" s="335"/>
      <c r="B470" s="337"/>
      <c r="C470" s="375">
        <v>4240</v>
      </c>
      <c r="D470" s="349" t="s">
        <v>53</v>
      </c>
      <c r="E470" s="448">
        <v>0</v>
      </c>
      <c r="F470" s="343">
        <v>2315</v>
      </c>
      <c r="G470" s="481">
        <v>2315</v>
      </c>
      <c r="H470" s="347">
        <f t="shared" si="20"/>
        <v>100</v>
      </c>
    </row>
    <row r="471" spans="1:8" s="348" customFormat="1" ht="12.75">
      <c r="A471" s="335"/>
      <c r="B471" s="337"/>
      <c r="C471" s="375">
        <v>4260</v>
      </c>
      <c r="D471" s="349" t="s">
        <v>45</v>
      </c>
      <c r="E471" s="448">
        <v>0</v>
      </c>
      <c r="F471" s="343">
        <v>4263</v>
      </c>
      <c r="G471" s="481">
        <v>4263</v>
      </c>
      <c r="H471" s="347">
        <f t="shared" si="20"/>
        <v>100</v>
      </c>
    </row>
    <row r="472" spans="1:8" s="348" customFormat="1" ht="12.75">
      <c r="A472" s="335"/>
      <c r="B472" s="337"/>
      <c r="C472" s="341">
        <v>4270</v>
      </c>
      <c r="D472" s="342" t="s">
        <v>46</v>
      </c>
      <c r="E472" s="448">
        <v>0</v>
      </c>
      <c r="F472" s="343">
        <v>355</v>
      </c>
      <c r="G472" s="481">
        <v>355</v>
      </c>
      <c r="H472" s="347">
        <f t="shared" si="20"/>
        <v>100</v>
      </c>
    </row>
    <row r="473" spans="1:8" s="348" customFormat="1" ht="12.75">
      <c r="A473" s="335"/>
      <c r="B473" s="337"/>
      <c r="C473" s="341">
        <v>4280</v>
      </c>
      <c r="D473" s="378" t="s">
        <v>75</v>
      </c>
      <c r="E473" s="448"/>
      <c r="F473" s="343">
        <v>75</v>
      </c>
      <c r="G473" s="481">
        <v>75</v>
      </c>
      <c r="H473" s="347">
        <f t="shared" si="20"/>
        <v>100</v>
      </c>
    </row>
    <row r="474" spans="1:8" s="348" customFormat="1" ht="12.75">
      <c r="A474" s="335"/>
      <c r="B474" s="337"/>
      <c r="C474" s="375">
        <v>4300</v>
      </c>
      <c r="D474" s="349" t="s">
        <v>43</v>
      </c>
      <c r="E474" s="448">
        <v>0</v>
      </c>
      <c r="F474" s="343">
        <v>1334</v>
      </c>
      <c r="G474" s="481">
        <v>1334</v>
      </c>
      <c r="H474" s="347">
        <f t="shared" si="20"/>
        <v>100</v>
      </c>
    </row>
    <row r="475" spans="1:8" s="348" customFormat="1" ht="12.75">
      <c r="A475" s="335"/>
      <c r="B475" s="337"/>
      <c r="C475" s="345">
        <v>4360</v>
      </c>
      <c r="D475" s="350" t="s">
        <v>612</v>
      </c>
      <c r="E475" s="448"/>
      <c r="F475" s="343">
        <v>171</v>
      </c>
      <c r="G475" s="481">
        <v>171</v>
      </c>
      <c r="H475" s="347">
        <f t="shared" si="20"/>
        <v>100</v>
      </c>
    </row>
    <row r="476" spans="1:8" s="348" customFormat="1" ht="12.75" hidden="1">
      <c r="A476" s="335"/>
      <c r="B476" s="337"/>
      <c r="C476" s="341">
        <v>4410</v>
      </c>
      <c r="D476" s="427" t="s">
        <v>6</v>
      </c>
      <c r="E476" s="448"/>
      <c r="F476" s="343"/>
      <c r="G476" s="481"/>
      <c r="H476" s="347" t="e">
        <f t="shared" si="20"/>
        <v>#DIV/0!</v>
      </c>
    </row>
    <row r="477" spans="1:8" s="348" customFormat="1" ht="12.75">
      <c r="A477" s="335"/>
      <c r="B477" s="337"/>
      <c r="C477" s="375">
        <v>4430</v>
      </c>
      <c r="D477" s="349" t="s">
        <v>3</v>
      </c>
      <c r="E477" s="448">
        <v>0</v>
      </c>
      <c r="F477" s="343">
        <v>136</v>
      </c>
      <c r="G477" s="481">
        <v>136</v>
      </c>
      <c r="H477" s="347">
        <f t="shared" si="20"/>
        <v>100</v>
      </c>
    </row>
    <row r="478" spans="1:8" s="348" customFormat="1" ht="13.5" thickBot="1">
      <c r="A478" s="335"/>
      <c r="B478" s="337"/>
      <c r="C478" s="375">
        <v>4440</v>
      </c>
      <c r="D478" s="349" t="s">
        <v>8</v>
      </c>
      <c r="E478" s="466">
        <v>0</v>
      </c>
      <c r="F478" s="355">
        <v>2412</v>
      </c>
      <c r="G478" s="363">
        <v>2412</v>
      </c>
      <c r="H478" s="347">
        <f t="shared" si="20"/>
        <v>100</v>
      </c>
    </row>
    <row r="479" spans="1:8" ht="13.5" thickBot="1">
      <c r="A479" s="337"/>
      <c r="B479" s="330">
        <v>80195</v>
      </c>
      <c r="C479" s="330"/>
      <c r="D479" s="357" t="s">
        <v>2</v>
      </c>
      <c r="E479" s="446">
        <f>SUM(E480:E480)</f>
        <v>0</v>
      </c>
      <c r="F479" s="311">
        <f>SUM(F480:F480)</f>
        <v>13030</v>
      </c>
      <c r="G479" s="311">
        <f>SUM(G480:G480)</f>
        <v>13030</v>
      </c>
      <c r="H479" s="311">
        <f t="shared" si="20"/>
        <v>100</v>
      </c>
    </row>
    <row r="480" spans="1:8" ht="13.5" thickBot="1">
      <c r="A480" s="306"/>
      <c r="B480" s="306"/>
      <c r="C480" s="396">
        <v>4440</v>
      </c>
      <c r="D480" s="428" t="s">
        <v>8</v>
      </c>
      <c r="E480" s="466">
        <v>0</v>
      </c>
      <c r="F480" s="355">
        <v>13030</v>
      </c>
      <c r="G480" s="355">
        <v>13030</v>
      </c>
      <c r="H480" s="355">
        <f t="shared" si="20"/>
        <v>100</v>
      </c>
    </row>
    <row r="481" spans="1:8" ht="13.5" thickBot="1">
      <c r="A481" s="359">
        <v>854</v>
      </c>
      <c r="B481" s="330">
        <v>85410</v>
      </c>
      <c r="C481" s="330"/>
      <c r="D481" s="336" t="s">
        <v>65</v>
      </c>
      <c r="E481" s="446">
        <f>SUM(E482:E499)</f>
        <v>387970</v>
      </c>
      <c r="F481" s="311">
        <f>SUM(F482:F499)</f>
        <v>392783</v>
      </c>
      <c r="G481" s="311">
        <f>SUM(G482:G499)</f>
        <v>389443.11</v>
      </c>
      <c r="H481" s="311">
        <f t="shared" si="20"/>
        <v>99.14968570432019</v>
      </c>
    </row>
    <row r="482" spans="1:8" s="348" customFormat="1" ht="12.75">
      <c r="A482" s="337"/>
      <c r="B482" s="337"/>
      <c r="C482" s="338">
        <v>3020</v>
      </c>
      <c r="D482" s="339" t="s">
        <v>101</v>
      </c>
      <c r="E482" s="447">
        <v>9323</v>
      </c>
      <c r="F482" s="340">
        <v>9323</v>
      </c>
      <c r="G482" s="340">
        <v>9178.08</v>
      </c>
      <c r="H482" s="340">
        <f t="shared" si="20"/>
        <v>98.44556473238228</v>
      </c>
    </row>
    <row r="483" spans="1:8" ht="12.75">
      <c r="A483" s="337"/>
      <c r="B483" s="337"/>
      <c r="C483" s="341">
        <v>4010</v>
      </c>
      <c r="D483" s="342" t="s">
        <v>0</v>
      </c>
      <c r="E483" s="448">
        <v>190674</v>
      </c>
      <c r="F483" s="343">
        <v>198856</v>
      </c>
      <c r="G483" s="343">
        <v>198855.93</v>
      </c>
      <c r="H483" s="343">
        <f t="shared" si="20"/>
        <v>99.99996479864826</v>
      </c>
    </row>
    <row r="484" spans="1:8" ht="12.75">
      <c r="A484" s="337"/>
      <c r="B484" s="337"/>
      <c r="C484" s="341">
        <v>4040</v>
      </c>
      <c r="D484" s="342" t="s">
        <v>5</v>
      </c>
      <c r="E484" s="448">
        <v>16719</v>
      </c>
      <c r="F484" s="343">
        <v>13483</v>
      </c>
      <c r="G484" s="343">
        <v>13483.18</v>
      </c>
      <c r="H484" s="343">
        <f t="shared" si="20"/>
        <v>100.00133501446267</v>
      </c>
    </row>
    <row r="485" spans="1:8" ht="12.75">
      <c r="A485" s="337"/>
      <c r="B485" s="337"/>
      <c r="C485" s="341">
        <v>4110</v>
      </c>
      <c r="D485" s="342" t="s">
        <v>7</v>
      </c>
      <c r="E485" s="448">
        <v>36943</v>
      </c>
      <c r="F485" s="343">
        <v>31997</v>
      </c>
      <c r="G485" s="343">
        <v>29975.22</v>
      </c>
      <c r="H485" s="343">
        <f t="shared" si="20"/>
        <v>93.68134512610557</v>
      </c>
    </row>
    <row r="486" spans="1:8" ht="12.75">
      <c r="A486" s="337"/>
      <c r="B486" s="337"/>
      <c r="C486" s="341">
        <v>4120</v>
      </c>
      <c r="D486" s="342" t="s">
        <v>1</v>
      </c>
      <c r="E486" s="448">
        <v>5293</v>
      </c>
      <c r="F486" s="343">
        <v>5293</v>
      </c>
      <c r="G486" s="343">
        <v>4120.14</v>
      </c>
      <c r="H486" s="343">
        <f t="shared" si="20"/>
        <v>77.8412998299641</v>
      </c>
    </row>
    <row r="487" spans="1:8" ht="12.75" hidden="1">
      <c r="A487" s="337"/>
      <c r="B487" s="337"/>
      <c r="C487" s="341">
        <v>4170</v>
      </c>
      <c r="D487" s="342" t="s">
        <v>102</v>
      </c>
      <c r="E487" s="448">
        <v>756</v>
      </c>
      <c r="F487" s="343"/>
      <c r="G487" s="343"/>
      <c r="H487" s="343" t="e">
        <f t="shared" si="20"/>
        <v>#DIV/0!</v>
      </c>
    </row>
    <row r="488" spans="1:8" ht="12.75">
      <c r="A488" s="337"/>
      <c r="B488" s="337"/>
      <c r="C488" s="341">
        <v>4210</v>
      </c>
      <c r="D488" s="342" t="s">
        <v>44</v>
      </c>
      <c r="E488" s="448">
        <v>6804</v>
      </c>
      <c r="F488" s="343">
        <v>13475</v>
      </c>
      <c r="G488" s="343">
        <v>13475</v>
      </c>
      <c r="H488" s="343">
        <f t="shared" si="20"/>
        <v>100</v>
      </c>
    </row>
    <row r="489" spans="1:8" ht="12.75">
      <c r="A489" s="337"/>
      <c r="B489" s="337"/>
      <c r="C489" s="341">
        <v>4260</v>
      </c>
      <c r="D489" s="342" t="s">
        <v>45</v>
      </c>
      <c r="E489" s="448">
        <v>80300</v>
      </c>
      <c r="F489" s="343">
        <v>67300</v>
      </c>
      <c r="G489" s="343">
        <v>67300</v>
      </c>
      <c r="H489" s="343">
        <f t="shared" si="20"/>
        <v>100</v>
      </c>
    </row>
    <row r="490" spans="1:8" ht="12.75">
      <c r="A490" s="337"/>
      <c r="B490" s="337"/>
      <c r="C490" s="341">
        <v>4270</v>
      </c>
      <c r="D490" s="377" t="s">
        <v>46</v>
      </c>
      <c r="E490" s="448">
        <v>10000</v>
      </c>
      <c r="F490" s="343">
        <v>10000</v>
      </c>
      <c r="G490" s="343">
        <v>10000</v>
      </c>
      <c r="H490" s="343">
        <f>G490/F490*100</f>
        <v>100</v>
      </c>
    </row>
    <row r="491" spans="1:8" ht="12.75">
      <c r="A491" s="337"/>
      <c r="B491" s="337"/>
      <c r="C491" s="341">
        <v>4280</v>
      </c>
      <c r="D491" s="378" t="s">
        <v>75</v>
      </c>
      <c r="E491" s="448">
        <v>930</v>
      </c>
      <c r="F491" s="343">
        <v>410</v>
      </c>
      <c r="G491" s="343">
        <v>410</v>
      </c>
      <c r="H491" s="343">
        <f t="shared" si="20"/>
        <v>100</v>
      </c>
    </row>
    <row r="492" spans="1:8" ht="12.75">
      <c r="A492" s="337"/>
      <c r="B492" s="337"/>
      <c r="C492" s="341">
        <v>4300</v>
      </c>
      <c r="D492" s="342" t="s">
        <v>43</v>
      </c>
      <c r="E492" s="448">
        <v>17671</v>
      </c>
      <c r="F492" s="343">
        <v>31417</v>
      </c>
      <c r="G492" s="343">
        <v>31417</v>
      </c>
      <c r="H492" s="343">
        <f aca="true" t="shared" si="21" ref="H492:H505">G492/F492*100</f>
        <v>100</v>
      </c>
    </row>
    <row r="493" spans="1:8" ht="12.75" hidden="1">
      <c r="A493" s="337"/>
      <c r="B493" s="337"/>
      <c r="C493" s="341">
        <v>4350</v>
      </c>
      <c r="D493" s="349" t="s">
        <v>110</v>
      </c>
      <c r="E493" s="449">
        <v>358</v>
      </c>
      <c r="F493" s="347"/>
      <c r="G493" s="347"/>
      <c r="H493" s="347" t="e">
        <f t="shared" si="21"/>
        <v>#DIV/0!</v>
      </c>
    </row>
    <row r="494" spans="1:8" ht="12.75">
      <c r="A494" s="337"/>
      <c r="B494" s="337"/>
      <c r="C494" s="624">
        <v>4360</v>
      </c>
      <c r="D494" s="625" t="s">
        <v>612</v>
      </c>
      <c r="E494" s="449"/>
      <c r="F494" s="347">
        <v>1339</v>
      </c>
      <c r="G494" s="347">
        <v>1338.98</v>
      </c>
      <c r="H494" s="347">
        <f t="shared" si="21"/>
        <v>99.99850634802091</v>
      </c>
    </row>
    <row r="495" spans="1:8" ht="38.25" hidden="1">
      <c r="A495" s="337"/>
      <c r="B495" s="337"/>
      <c r="C495" s="345">
        <v>4370</v>
      </c>
      <c r="D495" s="350" t="s">
        <v>598</v>
      </c>
      <c r="E495" s="449">
        <v>2125</v>
      </c>
      <c r="F495" s="347"/>
      <c r="G495" s="347"/>
      <c r="H495" s="347" t="e">
        <f t="shared" si="21"/>
        <v>#DIV/0!</v>
      </c>
    </row>
    <row r="496" spans="1:8" ht="12.75">
      <c r="A496" s="337"/>
      <c r="B496" s="337"/>
      <c r="C496" s="341">
        <v>4430</v>
      </c>
      <c r="D496" s="342" t="s">
        <v>3</v>
      </c>
      <c r="E496" s="449">
        <v>228</v>
      </c>
      <c r="F496" s="347">
        <v>228</v>
      </c>
      <c r="G496" s="347">
        <v>228</v>
      </c>
      <c r="H496" s="347">
        <f t="shared" si="21"/>
        <v>100</v>
      </c>
    </row>
    <row r="497" spans="1:8" ht="12.75">
      <c r="A497" s="337"/>
      <c r="B497" s="337"/>
      <c r="C497" s="341">
        <v>4440</v>
      </c>
      <c r="D497" s="342" t="s">
        <v>8</v>
      </c>
      <c r="E497" s="449">
        <v>8870</v>
      </c>
      <c r="F497" s="347">
        <v>8893</v>
      </c>
      <c r="G497" s="347">
        <v>8893</v>
      </c>
      <c r="H497" s="343">
        <f t="shared" si="21"/>
        <v>100</v>
      </c>
    </row>
    <row r="498" spans="1:8" ht="12.75">
      <c r="A498" s="337"/>
      <c r="B498" s="337"/>
      <c r="C498" s="345">
        <v>4530</v>
      </c>
      <c r="D498" s="346" t="s">
        <v>106</v>
      </c>
      <c r="E498" s="449">
        <v>765</v>
      </c>
      <c r="F498" s="347">
        <v>689</v>
      </c>
      <c r="G498" s="347">
        <v>688.58</v>
      </c>
      <c r="H498" s="347">
        <f>G498/F498*100</f>
        <v>99.93904208998549</v>
      </c>
    </row>
    <row r="499" spans="1:8" ht="26.25" thickBot="1">
      <c r="A499" s="337"/>
      <c r="B499" s="337"/>
      <c r="C499" s="345">
        <v>4700</v>
      </c>
      <c r="D499" s="352" t="s">
        <v>406</v>
      </c>
      <c r="E499" s="449">
        <v>211</v>
      </c>
      <c r="F499" s="347">
        <v>80</v>
      </c>
      <c r="G499" s="347">
        <v>80</v>
      </c>
      <c r="H499" s="347">
        <f>G499/F499*100</f>
        <v>100</v>
      </c>
    </row>
    <row r="500" spans="1:8" ht="13.5" thickBot="1">
      <c r="A500" s="337"/>
      <c r="B500" s="330">
        <v>85415</v>
      </c>
      <c r="C500" s="356"/>
      <c r="D500" s="409" t="s">
        <v>105</v>
      </c>
      <c r="E500" s="446">
        <f>SUM(E501:E501)</f>
        <v>0</v>
      </c>
      <c r="F500" s="311">
        <f>SUM(F501:F501)</f>
        <v>9600</v>
      </c>
      <c r="G500" s="311">
        <f>SUM(G501:G501)</f>
        <v>9500</v>
      </c>
      <c r="H500" s="311">
        <f t="shared" si="21"/>
        <v>98.95833333333334</v>
      </c>
    </row>
    <row r="501" spans="1:8" ht="13.5" thickBot="1">
      <c r="A501" s="306"/>
      <c r="B501" s="306"/>
      <c r="C501" s="306">
        <v>3240</v>
      </c>
      <c r="D501" s="410" t="s">
        <v>155</v>
      </c>
      <c r="E501" s="466"/>
      <c r="F501" s="355">
        <v>9600</v>
      </c>
      <c r="G501" s="355">
        <v>9500</v>
      </c>
      <c r="H501" s="355">
        <f t="shared" si="21"/>
        <v>98.95833333333334</v>
      </c>
    </row>
    <row r="502" spans="1:8" ht="13.5" hidden="1" thickBot="1">
      <c r="A502" s="337"/>
      <c r="B502" s="354">
        <v>85446</v>
      </c>
      <c r="C502" s="354"/>
      <c r="D502" s="399" t="s">
        <v>107</v>
      </c>
      <c r="E502" s="477"/>
      <c r="F502" s="400">
        <f>F503</f>
        <v>0</v>
      </c>
      <c r="G502" s="400">
        <f>G503</f>
        <v>0</v>
      </c>
      <c r="H502" s="400" t="e">
        <f t="shared" si="21"/>
        <v>#DIV/0!</v>
      </c>
    </row>
    <row r="503" spans="1:8" ht="13.5" hidden="1" thickBot="1">
      <c r="A503" s="337"/>
      <c r="B503" s="356"/>
      <c r="C503" s="356">
        <v>4300</v>
      </c>
      <c r="D503" s="430" t="s">
        <v>43</v>
      </c>
      <c r="E503" s="478"/>
      <c r="F503" s="362"/>
      <c r="G503" s="362"/>
      <c r="H503" s="362" t="e">
        <f t="shared" si="21"/>
        <v>#DIV/0!</v>
      </c>
    </row>
    <row r="504" spans="1:8" ht="13.5" hidden="1" thickBot="1">
      <c r="A504" s="372"/>
      <c r="B504" s="354">
        <v>85495</v>
      </c>
      <c r="C504" s="354"/>
      <c r="D504" s="407" t="s">
        <v>2</v>
      </c>
      <c r="E504" s="477"/>
      <c r="F504" s="400">
        <f>F505</f>
        <v>0</v>
      </c>
      <c r="G504" s="400">
        <f>G505</f>
        <v>0</v>
      </c>
      <c r="H504" s="400" t="e">
        <f t="shared" si="21"/>
        <v>#DIV/0!</v>
      </c>
    </row>
    <row r="505" spans="1:8" ht="13.5" hidden="1" thickBot="1">
      <c r="A505" s="429"/>
      <c r="B505" s="306"/>
      <c r="C505" s="306">
        <v>4440</v>
      </c>
      <c r="D505" s="314" t="s">
        <v>8</v>
      </c>
      <c r="E505" s="470"/>
      <c r="F505" s="355"/>
      <c r="G505" s="355"/>
      <c r="H505" s="355" t="e">
        <f t="shared" si="21"/>
        <v>#DIV/0!</v>
      </c>
    </row>
    <row r="506" spans="1:8" ht="12.75">
      <c r="A506" s="327"/>
      <c r="B506" s="327"/>
      <c r="C506" s="327"/>
      <c r="D506" s="326"/>
      <c r="E506" s="452"/>
      <c r="F506" s="351"/>
      <c r="G506" s="351"/>
      <c r="H506" s="351"/>
    </row>
    <row r="507" spans="1:8" ht="13.5" thickBot="1">
      <c r="A507" s="328"/>
      <c r="B507" s="329"/>
      <c r="C507" s="329"/>
      <c r="D507" s="328"/>
      <c r="E507" s="462"/>
      <c r="F507" s="363"/>
      <c r="G507" s="363"/>
      <c r="H507" s="351"/>
    </row>
    <row r="508" spans="1:8" ht="19.5" thickBot="1">
      <c r="A508" s="831" t="s">
        <v>165</v>
      </c>
      <c r="B508" s="832"/>
      <c r="C508" s="832"/>
      <c r="D508" s="832"/>
      <c r="E508" s="832"/>
      <c r="F508" s="832"/>
      <c r="G508" s="833"/>
      <c r="H508" s="365"/>
    </row>
    <row r="509" spans="1:8" ht="16.5" thickBot="1">
      <c r="A509" s="359"/>
      <c r="B509" s="394"/>
      <c r="C509" s="394"/>
      <c r="D509" s="369" t="s">
        <v>10</v>
      </c>
      <c r="E509" s="458">
        <f>E510</f>
        <v>77440</v>
      </c>
      <c r="F509" s="393">
        <f>F510</f>
        <v>77440</v>
      </c>
      <c r="G509" s="393">
        <f>G510</f>
        <v>54560</v>
      </c>
      <c r="H509" s="370">
        <f>G509/F509*100</f>
        <v>70.45454545454545</v>
      </c>
    </row>
    <row r="510" spans="1:8" ht="13.5" thickBot="1">
      <c r="A510" s="359">
        <v>801</v>
      </c>
      <c r="B510" s="330">
        <v>80120</v>
      </c>
      <c r="C510" s="330"/>
      <c r="D510" s="336" t="s">
        <v>56</v>
      </c>
      <c r="E510" s="446">
        <f>E511</f>
        <v>77440</v>
      </c>
      <c r="F510" s="311">
        <f>F511</f>
        <v>77440</v>
      </c>
      <c r="G510" s="311">
        <f>SUM(G511:G511)</f>
        <v>54560</v>
      </c>
      <c r="H510" s="311">
        <f>G510/F510*100</f>
        <v>70.45454545454545</v>
      </c>
    </row>
    <row r="511" spans="1:8" ht="26.25" thickBot="1">
      <c r="A511" s="306"/>
      <c r="B511" s="306"/>
      <c r="C511" s="306">
        <v>2540</v>
      </c>
      <c r="D511" s="314" t="s">
        <v>595</v>
      </c>
      <c r="E511" s="466">
        <f>77440</f>
        <v>77440</v>
      </c>
      <c r="F511" s="355">
        <f>77440</f>
        <v>77440</v>
      </c>
      <c r="G511" s="355">
        <f>54560</f>
        <v>54560</v>
      </c>
      <c r="H511" s="355">
        <f>G511/F511*100</f>
        <v>70.45454545454545</v>
      </c>
    </row>
    <row r="512" spans="1:8" ht="12.75">
      <c r="A512" s="327"/>
      <c r="B512" s="327"/>
      <c r="C512" s="327"/>
      <c r="D512" s="326"/>
      <c r="E512" s="452"/>
      <c r="F512" s="351"/>
      <c r="G512" s="351"/>
      <c r="H512" s="351"/>
    </row>
    <row r="513" spans="1:8" ht="13.5" thickBot="1">
      <c r="A513" s="327"/>
      <c r="B513" s="327"/>
      <c r="C513" s="327"/>
      <c r="D513" s="326"/>
      <c r="E513" s="452"/>
      <c r="F513" s="351"/>
      <c r="G513" s="351"/>
      <c r="H513" s="351"/>
    </row>
    <row r="514" spans="1:8" ht="19.5" thickBot="1">
      <c r="A514" s="831" t="s">
        <v>384</v>
      </c>
      <c r="B514" s="832"/>
      <c r="C514" s="832"/>
      <c r="D514" s="832"/>
      <c r="E514" s="832"/>
      <c r="F514" s="832"/>
      <c r="G514" s="833"/>
      <c r="H514" s="365"/>
    </row>
    <row r="515" spans="1:8" ht="16.5" thickBot="1">
      <c r="A515" s="359"/>
      <c r="B515" s="394"/>
      <c r="C515" s="394"/>
      <c r="D515" s="369" t="s">
        <v>10</v>
      </c>
      <c r="E515" s="458">
        <f>E516</f>
        <v>269778</v>
      </c>
      <c r="F515" s="393">
        <f>F516</f>
        <v>289778</v>
      </c>
      <c r="G515" s="393">
        <f>G516</f>
        <v>270848.34</v>
      </c>
      <c r="H515" s="370">
        <f>G515/F515*100</f>
        <v>93.46753031631113</v>
      </c>
    </row>
    <row r="516" spans="1:8" ht="13.5" thickBot="1">
      <c r="A516" s="359">
        <v>801</v>
      </c>
      <c r="B516" s="330">
        <v>80130</v>
      </c>
      <c r="C516" s="330"/>
      <c r="D516" s="336" t="s">
        <v>69</v>
      </c>
      <c r="E516" s="446">
        <f>E517</f>
        <v>269778</v>
      </c>
      <c r="F516" s="311">
        <f>F517</f>
        <v>289778</v>
      </c>
      <c r="G516" s="311">
        <f>SUM(G517:G517)</f>
        <v>270848.34</v>
      </c>
      <c r="H516" s="311">
        <f>G516/F516*100</f>
        <v>93.46753031631113</v>
      </c>
    </row>
    <row r="517" spans="1:8" ht="26.25" thickBot="1">
      <c r="A517" s="306"/>
      <c r="B517" s="306"/>
      <c r="C517" s="306">
        <v>2540</v>
      </c>
      <c r="D517" s="314" t="s">
        <v>595</v>
      </c>
      <c r="E517" s="466">
        <v>269778</v>
      </c>
      <c r="F517" s="355">
        <f>289778</f>
        <v>289778</v>
      </c>
      <c r="G517" s="355">
        <v>270848.34</v>
      </c>
      <c r="H517" s="355">
        <f>G517/F517*100</f>
        <v>93.46753031631113</v>
      </c>
    </row>
    <row r="518" spans="1:8" ht="12.75">
      <c r="A518" s="327"/>
      <c r="B518" s="327"/>
      <c r="C518" s="327"/>
      <c r="D518" s="326"/>
      <c r="E518" s="452"/>
      <c r="F518" s="351"/>
      <c r="G518" s="351"/>
      <c r="H518" s="351"/>
    </row>
    <row r="519" spans="1:8" ht="13.5" thickBot="1">
      <c r="A519" s="327"/>
      <c r="B519" s="327"/>
      <c r="C519" s="327"/>
      <c r="D519" s="326"/>
      <c r="E519" s="452"/>
      <c r="F519" s="351"/>
      <c r="G519" s="351"/>
      <c r="H519" s="351"/>
    </row>
    <row r="520" spans="1:8" ht="39.75" customHeight="1" thickBot="1">
      <c r="A520" s="831" t="s">
        <v>544</v>
      </c>
      <c r="B520" s="832"/>
      <c r="C520" s="832"/>
      <c r="D520" s="832"/>
      <c r="E520" s="832"/>
      <c r="F520" s="832"/>
      <c r="G520" s="833"/>
      <c r="H520" s="365"/>
    </row>
    <row r="521" spans="1:8" ht="16.5" thickBot="1">
      <c r="A521" s="359"/>
      <c r="B521" s="394"/>
      <c r="C521" s="394"/>
      <c r="D521" s="369" t="s">
        <v>10</v>
      </c>
      <c r="E521" s="458">
        <f>E522</f>
        <v>77440</v>
      </c>
      <c r="F521" s="393">
        <f>F522</f>
        <v>77440</v>
      </c>
      <c r="G521" s="393">
        <f>G522</f>
        <v>54312</v>
      </c>
      <c r="H521" s="370">
        <f>G521/F521*100</f>
        <v>70.13429752066116</v>
      </c>
    </row>
    <row r="522" spans="1:8" ht="13.5" thickBot="1">
      <c r="A522" s="359">
        <v>801</v>
      </c>
      <c r="B522" s="330">
        <v>80120</v>
      </c>
      <c r="C522" s="330"/>
      <c r="D522" s="336" t="s">
        <v>56</v>
      </c>
      <c r="E522" s="446">
        <f>E523</f>
        <v>77440</v>
      </c>
      <c r="F522" s="311">
        <f>F523</f>
        <v>77440</v>
      </c>
      <c r="G522" s="311">
        <f>SUM(G523:G523)</f>
        <v>54312</v>
      </c>
      <c r="H522" s="311">
        <f>G522/F522*100</f>
        <v>70.13429752066116</v>
      </c>
    </row>
    <row r="523" spans="1:8" ht="26.25" thickBot="1">
      <c r="A523" s="306"/>
      <c r="B523" s="306"/>
      <c r="C523" s="306">
        <v>2540</v>
      </c>
      <c r="D523" s="314" t="s">
        <v>595</v>
      </c>
      <c r="E523" s="466">
        <v>77440</v>
      </c>
      <c r="F523" s="355">
        <f>77440</f>
        <v>77440</v>
      </c>
      <c r="G523" s="355">
        <v>54312</v>
      </c>
      <c r="H523" s="355">
        <f>G523/F523*100</f>
        <v>70.13429752066116</v>
      </c>
    </row>
    <row r="524" spans="1:8" ht="12.75">
      <c r="A524" s="327"/>
      <c r="B524" s="327"/>
      <c r="C524" s="327"/>
      <c r="D524" s="326"/>
      <c r="E524" s="452"/>
      <c r="F524" s="351"/>
      <c r="G524" s="351"/>
      <c r="H524" s="351"/>
    </row>
    <row r="525" spans="1:8" ht="13.5" thickBot="1">
      <c r="A525" s="327"/>
      <c r="B525" s="327"/>
      <c r="C525" s="327"/>
      <c r="D525" s="326"/>
      <c r="E525" s="452"/>
      <c r="F525" s="351"/>
      <c r="G525" s="351"/>
      <c r="H525" s="351"/>
    </row>
    <row r="526" spans="1:8" ht="19.5" thickBot="1">
      <c r="A526" s="831" t="s">
        <v>601</v>
      </c>
      <c r="B526" s="832"/>
      <c r="C526" s="832"/>
      <c r="D526" s="832"/>
      <c r="E526" s="832"/>
      <c r="F526" s="832"/>
      <c r="G526" s="833"/>
      <c r="H526" s="365"/>
    </row>
    <row r="527" spans="1:8" ht="16.5" thickBot="1">
      <c r="A527" s="359"/>
      <c r="B527" s="394"/>
      <c r="C527" s="394"/>
      <c r="D527" s="369" t="s">
        <v>10</v>
      </c>
      <c r="E527" s="458">
        <f>E528</f>
        <v>109000</v>
      </c>
      <c r="F527" s="393">
        <f>F528</f>
        <v>279000</v>
      </c>
      <c r="G527" s="393">
        <f>G528</f>
        <v>225475</v>
      </c>
      <c r="H527" s="370">
        <f>G527/F527*100</f>
        <v>80.81541218637993</v>
      </c>
    </row>
    <row r="528" spans="1:8" ht="13.5" thickBot="1">
      <c r="A528" s="359">
        <v>801</v>
      </c>
      <c r="B528" s="330">
        <v>80120</v>
      </c>
      <c r="C528" s="330"/>
      <c r="D528" s="336" t="s">
        <v>56</v>
      </c>
      <c r="E528" s="446">
        <f>E529</f>
        <v>109000</v>
      </c>
      <c r="F528" s="311">
        <f>F529</f>
        <v>279000</v>
      </c>
      <c r="G528" s="311">
        <f>SUM(G529:G529)</f>
        <v>225475</v>
      </c>
      <c r="H528" s="311">
        <f>G528/F528*100</f>
        <v>80.81541218637993</v>
      </c>
    </row>
    <row r="529" spans="1:8" ht="26.25" thickBot="1">
      <c r="A529" s="306"/>
      <c r="B529" s="306"/>
      <c r="C529" s="306">
        <v>2540</v>
      </c>
      <c r="D529" s="314" t="s">
        <v>595</v>
      </c>
      <c r="E529" s="466">
        <v>109000</v>
      </c>
      <c r="F529" s="355">
        <f>279000</f>
        <v>279000</v>
      </c>
      <c r="G529" s="355">
        <f>232000-6525</f>
        <v>225475</v>
      </c>
      <c r="H529" s="355">
        <f>G529/F529*100</f>
        <v>80.81541218637993</v>
      </c>
    </row>
    <row r="530" spans="1:8" ht="12.75">
      <c r="A530" s="327"/>
      <c r="B530" s="327"/>
      <c r="C530" s="327"/>
      <c r="D530" s="326"/>
      <c r="E530" s="452"/>
      <c r="F530" s="351"/>
      <c r="G530" s="351"/>
      <c r="H530" s="351"/>
    </row>
    <row r="531" spans="1:8" ht="13.5" thickBot="1">
      <c r="A531" s="327"/>
      <c r="B531" s="327"/>
      <c r="C531" s="327"/>
      <c r="D531" s="326"/>
      <c r="E531" s="452"/>
      <c r="F531" s="351"/>
      <c r="G531" s="351"/>
      <c r="H531" s="351"/>
    </row>
    <row r="532" spans="1:8" ht="19.5" thickBot="1">
      <c r="A532" s="831" t="s">
        <v>602</v>
      </c>
      <c r="B532" s="832"/>
      <c r="C532" s="832"/>
      <c r="D532" s="832"/>
      <c r="E532" s="832"/>
      <c r="F532" s="832"/>
      <c r="G532" s="833"/>
      <c r="H532" s="365"/>
    </row>
    <row r="533" spans="1:8" ht="16.5" thickBot="1">
      <c r="A533" s="359"/>
      <c r="B533" s="394"/>
      <c r="C533" s="394"/>
      <c r="D533" s="369" t="s">
        <v>10</v>
      </c>
      <c r="E533" s="458">
        <f>E534</f>
        <v>315200</v>
      </c>
      <c r="F533" s="393">
        <f>F534</f>
        <v>125200</v>
      </c>
      <c r="G533" s="393">
        <f>G534</f>
        <v>0</v>
      </c>
      <c r="H533" s="370">
        <f>G533/F533*100</f>
        <v>0</v>
      </c>
    </row>
    <row r="534" spans="1:8" ht="13.5" thickBot="1">
      <c r="A534" s="359">
        <v>801</v>
      </c>
      <c r="B534" s="330">
        <v>80120</v>
      </c>
      <c r="C534" s="330"/>
      <c r="D534" s="336" t="s">
        <v>56</v>
      </c>
      <c r="E534" s="446">
        <f>E535</f>
        <v>315200</v>
      </c>
      <c r="F534" s="311">
        <f>F535</f>
        <v>125200</v>
      </c>
      <c r="G534" s="311">
        <f>SUM(G535:G535)</f>
        <v>0</v>
      </c>
      <c r="H534" s="311">
        <f>G534/F534*100</f>
        <v>0</v>
      </c>
    </row>
    <row r="535" spans="1:8" ht="26.25" thickBot="1">
      <c r="A535" s="306"/>
      <c r="B535" s="306"/>
      <c r="C535" s="306">
        <v>2540</v>
      </c>
      <c r="D535" s="314" t="s">
        <v>595</v>
      </c>
      <c r="E535" s="466">
        <f>132000+183200</f>
        <v>315200</v>
      </c>
      <c r="F535" s="355">
        <f>52000+73200</f>
        <v>125200</v>
      </c>
      <c r="G535" s="355">
        <v>0</v>
      </c>
      <c r="H535" s="355">
        <f>G535/F535*100</f>
        <v>0</v>
      </c>
    </row>
    <row r="536" spans="1:8" ht="12.75">
      <c r="A536" s="327"/>
      <c r="B536" s="327"/>
      <c r="C536" s="327"/>
      <c r="D536" s="326"/>
      <c r="E536" s="452"/>
      <c r="F536" s="351"/>
      <c r="G536" s="351"/>
      <c r="H536" s="351"/>
    </row>
    <row r="537" ht="13.5" thickBot="1"/>
    <row r="538" spans="5:8" ht="24.75" thickBot="1">
      <c r="E538" s="444" t="s">
        <v>594</v>
      </c>
      <c r="F538" s="305" t="s">
        <v>151</v>
      </c>
      <c r="G538" s="309" t="s">
        <v>122</v>
      </c>
      <c r="H538" s="308" t="str">
        <f>H6</f>
        <v>wskaźnik 100,00%</v>
      </c>
    </row>
    <row r="539" spans="1:253" s="316" customFormat="1" ht="16.5" thickBot="1">
      <c r="A539" s="315"/>
      <c r="C539" s="829" t="s">
        <v>11</v>
      </c>
      <c r="D539" s="830"/>
      <c r="E539" s="465">
        <f>E509+E436+E383+E332+E283+E253+E189+E161+E94+E50+E8+E515+E521+E527+E533</f>
        <v>27305536</v>
      </c>
      <c r="F539" s="151">
        <f>F509+F436+F383+F332+F283+F253+F189+F161+F94+F50+F8+F515+F521+F527+F533</f>
        <v>27969217</v>
      </c>
      <c r="G539" s="151">
        <f>G509+G436+G383+G332+G283+G253+G189+G161+G94+G50+G8+G515+G521+G527+G533</f>
        <v>23478769.009999998</v>
      </c>
      <c r="H539" s="151">
        <f>G539/F539*100</f>
        <v>83.94503503619711</v>
      </c>
      <c r="I539" s="317"/>
      <c r="J539" s="317"/>
      <c r="K539" s="317"/>
      <c r="L539" s="317"/>
      <c r="M539" s="317"/>
      <c r="N539" s="317"/>
      <c r="O539" s="317"/>
      <c r="P539" s="317"/>
      <c r="Q539" s="317"/>
      <c r="R539" s="317"/>
      <c r="S539" s="317"/>
      <c r="T539" s="317"/>
      <c r="U539" s="317"/>
      <c r="V539" s="317"/>
      <c r="W539" s="317"/>
      <c r="X539" s="317"/>
      <c r="Y539" s="317"/>
      <c r="Z539" s="317"/>
      <c r="AA539" s="317"/>
      <c r="AB539" s="317"/>
      <c r="AC539" s="317"/>
      <c r="AD539" s="317"/>
      <c r="AE539" s="317"/>
      <c r="AF539" s="317"/>
      <c r="AG539" s="317"/>
      <c r="AH539" s="317"/>
      <c r="AI539" s="317"/>
      <c r="AJ539" s="317"/>
      <c r="AK539" s="317"/>
      <c r="AL539" s="317"/>
      <c r="AM539" s="317"/>
      <c r="AN539" s="317"/>
      <c r="AO539" s="317"/>
      <c r="AP539" s="317"/>
      <c r="AQ539" s="317"/>
      <c r="AR539" s="317"/>
      <c r="AS539" s="317"/>
      <c r="AT539" s="317"/>
      <c r="AU539" s="317"/>
      <c r="AV539" s="317"/>
      <c r="AW539" s="317"/>
      <c r="AX539" s="317"/>
      <c r="AY539" s="317"/>
      <c r="AZ539" s="317"/>
      <c r="BA539" s="317"/>
      <c r="BB539" s="317"/>
      <c r="BC539" s="317"/>
      <c r="BD539" s="317"/>
      <c r="BE539" s="317"/>
      <c r="BF539" s="317"/>
      <c r="BG539" s="317"/>
      <c r="BH539" s="317"/>
      <c r="BI539" s="317"/>
      <c r="BJ539" s="317"/>
      <c r="BK539" s="317"/>
      <c r="BL539" s="317"/>
      <c r="BM539" s="317"/>
      <c r="BN539" s="317"/>
      <c r="BO539" s="317"/>
      <c r="BP539" s="317"/>
      <c r="BQ539" s="317"/>
      <c r="BR539" s="317"/>
      <c r="BS539" s="317"/>
      <c r="BT539" s="317"/>
      <c r="BU539" s="317"/>
      <c r="BV539" s="317"/>
      <c r="BW539" s="317"/>
      <c r="BX539" s="317"/>
      <c r="BY539" s="317"/>
      <c r="BZ539" s="317"/>
      <c r="CA539" s="317"/>
      <c r="CB539" s="317"/>
      <c r="CC539" s="317"/>
      <c r="CD539" s="317"/>
      <c r="CE539" s="317"/>
      <c r="CF539" s="317"/>
      <c r="CG539" s="317"/>
      <c r="CH539" s="317"/>
      <c r="CI539" s="317"/>
      <c r="CJ539" s="317"/>
      <c r="CK539" s="317"/>
      <c r="CL539" s="317"/>
      <c r="CM539" s="317"/>
      <c r="CN539" s="317"/>
      <c r="CO539" s="317"/>
      <c r="CP539" s="317"/>
      <c r="CQ539" s="317"/>
      <c r="CR539" s="317"/>
      <c r="CS539" s="317"/>
      <c r="CT539" s="317"/>
      <c r="CU539" s="317"/>
      <c r="CV539" s="317"/>
      <c r="CW539" s="317"/>
      <c r="CX539" s="317"/>
      <c r="CY539" s="317"/>
      <c r="CZ539" s="317"/>
      <c r="DA539" s="317"/>
      <c r="DB539" s="317"/>
      <c r="DC539" s="317"/>
      <c r="DD539" s="317"/>
      <c r="DE539" s="317"/>
      <c r="DF539" s="317"/>
      <c r="DG539" s="317"/>
      <c r="DH539" s="317"/>
      <c r="DI539" s="317"/>
      <c r="DJ539" s="317"/>
      <c r="DK539" s="317"/>
      <c r="DL539" s="317"/>
      <c r="DM539" s="317"/>
      <c r="DN539" s="317"/>
      <c r="DO539" s="317"/>
      <c r="DP539" s="317"/>
      <c r="DQ539" s="317"/>
      <c r="DR539" s="317"/>
      <c r="DS539" s="317"/>
      <c r="DT539" s="317"/>
      <c r="DU539" s="317"/>
      <c r="DV539" s="317"/>
      <c r="DW539" s="317"/>
      <c r="DX539" s="317"/>
      <c r="DY539" s="317"/>
      <c r="DZ539" s="317"/>
      <c r="EA539" s="317"/>
      <c r="EB539" s="317"/>
      <c r="EC539" s="317"/>
      <c r="ED539" s="317"/>
      <c r="EE539" s="317"/>
      <c r="EF539" s="317"/>
      <c r="EG539" s="317"/>
      <c r="EH539" s="317"/>
      <c r="EI539" s="317"/>
      <c r="EJ539" s="317"/>
      <c r="EK539" s="317"/>
      <c r="EL539" s="317"/>
      <c r="EM539" s="317"/>
      <c r="EN539" s="317"/>
      <c r="EO539" s="317"/>
      <c r="EP539" s="317"/>
      <c r="EQ539" s="317"/>
      <c r="ER539" s="317"/>
      <c r="ES539" s="317"/>
      <c r="ET539" s="317"/>
      <c r="EU539" s="317"/>
      <c r="EV539" s="317"/>
      <c r="EW539" s="317"/>
      <c r="EX539" s="317"/>
      <c r="EY539" s="317"/>
      <c r="EZ539" s="317"/>
      <c r="FA539" s="317"/>
      <c r="FB539" s="317"/>
      <c r="FC539" s="317"/>
      <c r="FD539" s="317"/>
      <c r="FE539" s="317"/>
      <c r="FF539" s="317"/>
      <c r="FG539" s="317"/>
      <c r="FH539" s="317"/>
      <c r="FI539" s="317"/>
      <c r="FJ539" s="317"/>
      <c r="FK539" s="317"/>
      <c r="FL539" s="317"/>
      <c r="FM539" s="317"/>
      <c r="FN539" s="317"/>
      <c r="FO539" s="317"/>
      <c r="FP539" s="317"/>
      <c r="FQ539" s="317"/>
      <c r="FR539" s="317"/>
      <c r="FS539" s="317"/>
      <c r="FT539" s="317"/>
      <c r="FU539" s="317"/>
      <c r="FV539" s="317"/>
      <c r="FW539" s="317"/>
      <c r="FX539" s="317"/>
      <c r="FY539" s="317"/>
      <c r="FZ539" s="317"/>
      <c r="GA539" s="317"/>
      <c r="GB539" s="317"/>
      <c r="GC539" s="317"/>
      <c r="GD539" s="317"/>
      <c r="GE539" s="317"/>
      <c r="GF539" s="317"/>
      <c r="GG539" s="317"/>
      <c r="GH539" s="317"/>
      <c r="GI539" s="317"/>
      <c r="GJ539" s="317"/>
      <c r="GK539" s="317"/>
      <c r="GL539" s="317"/>
      <c r="GM539" s="317"/>
      <c r="GN539" s="317"/>
      <c r="GO539" s="317"/>
      <c r="GP539" s="317"/>
      <c r="GQ539" s="317"/>
      <c r="GR539" s="317"/>
      <c r="GS539" s="317"/>
      <c r="GT539" s="317"/>
      <c r="GU539" s="317"/>
      <c r="GV539" s="317"/>
      <c r="GW539" s="317"/>
      <c r="GX539" s="317"/>
      <c r="GY539" s="317"/>
      <c r="GZ539" s="317"/>
      <c r="HA539" s="317"/>
      <c r="HB539" s="317"/>
      <c r="HC539" s="317"/>
      <c r="HD539" s="317"/>
      <c r="HE539" s="317"/>
      <c r="HF539" s="317"/>
      <c r="HG539" s="317"/>
      <c r="HH539" s="317"/>
      <c r="HI539" s="317"/>
      <c r="HJ539" s="317"/>
      <c r="HK539" s="317"/>
      <c r="HL539" s="317"/>
      <c r="HM539" s="317"/>
      <c r="HN539" s="317"/>
      <c r="HO539" s="317"/>
      <c r="HP539" s="317"/>
      <c r="HQ539" s="317"/>
      <c r="HR539" s="317"/>
      <c r="HS539" s="317"/>
      <c r="HT539" s="317"/>
      <c r="HU539" s="317"/>
      <c r="HV539" s="317"/>
      <c r="HW539" s="317"/>
      <c r="HX539" s="317"/>
      <c r="HY539" s="317"/>
      <c r="HZ539" s="317"/>
      <c r="IA539" s="317"/>
      <c r="IB539" s="317"/>
      <c r="IC539" s="317"/>
      <c r="ID539" s="317"/>
      <c r="IE539" s="317"/>
      <c r="IF539" s="317"/>
      <c r="IG539" s="317"/>
      <c r="IH539" s="317"/>
      <c r="II539" s="317"/>
      <c r="IJ539" s="317"/>
      <c r="IK539" s="317"/>
      <c r="IL539" s="317"/>
      <c r="IM539" s="317"/>
      <c r="IN539" s="317"/>
      <c r="IO539" s="317"/>
      <c r="IP539" s="317"/>
      <c r="IQ539" s="317"/>
      <c r="IR539" s="317"/>
      <c r="IS539" s="317"/>
    </row>
    <row r="540" spans="1:8" ht="15.75">
      <c r="A540" s="317"/>
      <c r="B540" s="431"/>
      <c r="C540" s="432"/>
      <c r="D540" s="317"/>
      <c r="E540" s="479"/>
      <c r="F540" s="433"/>
      <c r="G540" s="433"/>
      <c r="H540" s="433"/>
    </row>
  </sheetData>
  <sheetProtection/>
  <mergeCells count="20">
    <mergeCell ref="G1:H1"/>
    <mergeCell ref="A2:H2"/>
    <mergeCell ref="A3:H3"/>
    <mergeCell ref="A4:C4"/>
    <mergeCell ref="A526:G526"/>
    <mergeCell ref="A532:G532"/>
    <mergeCell ref="A520:G520"/>
    <mergeCell ref="A282:G282"/>
    <mergeCell ref="A508:G508"/>
    <mergeCell ref="A514:G514"/>
    <mergeCell ref="C539:D539"/>
    <mergeCell ref="A49:G49"/>
    <mergeCell ref="A7:H7"/>
    <mergeCell ref="A188:G188"/>
    <mergeCell ref="A160:G160"/>
    <mergeCell ref="A252:G252"/>
    <mergeCell ref="A93:G93"/>
    <mergeCell ref="A331:G331"/>
    <mergeCell ref="A435:G435"/>
    <mergeCell ref="A382:G382"/>
  </mergeCells>
  <printOptions horizontalCentered="1"/>
  <pageMargins left="0.3937007874015748" right="0.31496062992125984" top="0.6692913385826772" bottom="0.9055118110236221" header="0.3937007874015748" footer="0.3937007874015748"/>
  <pageSetup firstPageNumber="91" useFirstPageNumber="1" horizontalDpi="300" verticalDpi="300" orientation="portrait" paperSize="9" r:id="rId1"/>
  <headerFooter alignWithMargins="0">
    <oddFooter>&amp;L&amp;P</oddFooter>
  </headerFooter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29" sqref="D29"/>
    </sheetView>
  </sheetViews>
  <sheetFormatPr defaultColWidth="9.00390625" defaultRowHeight="15" customHeight="1"/>
  <cols>
    <col min="1" max="1" width="9.125" style="693" customWidth="1"/>
    <col min="2" max="2" width="20.25390625" style="693" customWidth="1"/>
    <col min="3" max="4" width="23.25390625" style="693" customWidth="1"/>
    <col min="5" max="5" width="7.00390625" style="693" customWidth="1"/>
    <col min="6" max="6" width="11.75390625" style="693" customWidth="1"/>
    <col min="7" max="7" width="11.375" style="693" customWidth="1"/>
    <col min="8" max="10" width="9.125" style="693" customWidth="1"/>
    <col min="11" max="11" width="15.00390625" style="693" customWidth="1"/>
    <col min="12" max="16384" width="9.125" style="693" customWidth="1"/>
  </cols>
  <sheetData>
    <row r="1" ht="15" customHeight="1">
      <c r="D1" s="629" t="s">
        <v>137</v>
      </c>
    </row>
    <row r="3" spans="1:4" s="694" customFormat="1" ht="15" customHeight="1">
      <c r="A3" s="845" t="s">
        <v>454</v>
      </c>
      <c r="B3" s="845"/>
      <c r="C3" s="845"/>
      <c r="D3" s="845"/>
    </row>
    <row r="4" spans="1:4" s="694" customFormat="1" ht="15" customHeight="1">
      <c r="A4" s="845" t="s">
        <v>455</v>
      </c>
      <c r="B4" s="845"/>
      <c r="C4" s="845"/>
      <c r="D4" s="845"/>
    </row>
    <row r="5" spans="1:4" s="694" customFormat="1" ht="15" customHeight="1">
      <c r="A5" s="845" t="s">
        <v>386</v>
      </c>
      <c r="B5" s="845"/>
      <c r="C5" s="845"/>
      <c r="D5" s="845"/>
    </row>
    <row r="7" spans="1:4" ht="15" customHeight="1">
      <c r="A7" s="846" t="s">
        <v>638</v>
      </c>
      <c r="B7" s="846"/>
      <c r="C7" s="846"/>
      <c r="D7" s="846"/>
    </row>
    <row r="9" spans="1:4" ht="15" customHeight="1">
      <c r="A9" s="695" t="s">
        <v>131</v>
      </c>
      <c r="B9" s="695" t="s">
        <v>132</v>
      </c>
      <c r="C9" s="847" t="s">
        <v>120</v>
      </c>
      <c r="D9" s="848"/>
    </row>
    <row r="10" spans="1:4" ht="15" customHeight="1">
      <c r="A10" s="696"/>
      <c r="B10" s="696"/>
      <c r="C10" s="697" t="s">
        <v>121</v>
      </c>
      <c r="D10" s="697" t="s">
        <v>122</v>
      </c>
    </row>
    <row r="11" spans="1:8" ht="15" customHeight="1">
      <c r="A11" s="698" t="s">
        <v>50</v>
      </c>
      <c r="B11" s="698" t="s">
        <v>55</v>
      </c>
      <c r="C11" s="699">
        <f>17300+640</f>
        <v>17940</v>
      </c>
      <c r="D11" s="699">
        <f>12074.54+213.1</f>
        <v>12287.640000000001</v>
      </c>
      <c r="F11" s="700"/>
      <c r="G11" s="700"/>
      <c r="H11" s="693" t="s">
        <v>523</v>
      </c>
    </row>
    <row r="12" spans="1:7" ht="15" customHeight="1">
      <c r="A12" s="698" t="s">
        <v>50</v>
      </c>
      <c r="B12" s="698" t="s">
        <v>57</v>
      </c>
      <c r="C12" s="699">
        <f>29560+8156+1950+50774</f>
        <v>90440</v>
      </c>
      <c r="D12" s="699">
        <f>25805.76+7626.18+1655.54+50629.67</f>
        <v>85717.15</v>
      </c>
      <c r="F12" s="700"/>
      <c r="G12" s="700"/>
    </row>
    <row r="13" spans="1:11" ht="15" customHeight="1">
      <c r="A13" s="698" t="s">
        <v>59</v>
      </c>
      <c r="B13" s="698" t="s">
        <v>60</v>
      </c>
      <c r="C13" s="699">
        <f>60500+114000</f>
        <v>174500</v>
      </c>
      <c r="D13" s="699">
        <f>83374.66+50472.54</f>
        <v>133847.2</v>
      </c>
      <c r="F13" s="700"/>
      <c r="G13" s="700"/>
      <c r="H13" s="843">
        <v>80120</v>
      </c>
      <c r="I13" s="722" t="s">
        <v>195</v>
      </c>
      <c r="J13" s="718"/>
      <c r="K13" s="759">
        <v>17300</v>
      </c>
    </row>
    <row r="14" spans="1:11" ht="15" customHeight="1">
      <c r="A14" s="698" t="s">
        <v>59</v>
      </c>
      <c r="B14" s="698" t="s">
        <v>64</v>
      </c>
      <c r="C14" s="699">
        <v>66615</v>
      </c>
      <c r="D14" s="699">
        <v>66614.5</v>
      </c>
      <c r="F14" s="700"/>
      <c r="G14" s="700"/>
      <c r="H14" s="844"/>
      <c r="I14" s="722" t="s">
        <v>197</v>
      </c>
      <c r="J14" s="718"/>
      <c r="K14" s="759">
        <v>640</v>
      </c>
    </row>
    <row r="15" spans="1:11" s="705" customFormat="1" ht="19.5" customHeight="1">
      <c r="A15" s="703"/>
      <c r="B15" s="703" t="s">
        <v>10</v>
      </c>
      <c r="C15" s="704">
        <f>SUM(C11:C14)</f>
        <v>349495</v>
      </c>
      <c r="D15" s="704">
        <f>SUM(D11:D14)</f>
        <v>298466.49</v>
      </c>
      <c r="F15" s="706"/>
      <c r="G15" s="706"/>
      <c r="H15" s="707">
        <v>80130</v>
      </c>
      <c r="I15" s="722" t="s">
        <v>207</v>
      </c>
      <c r="J15" s="718"/>
      <c r="K15" s="759">
        <v>29560</v>
      </c>
    </row>
    <row r="16" spans="1:11" ht="15" customHeight="1">
      <c r="A16" s="695"/>
      <c r="B16" s="709" t="s">
        <v>146</v>
      </c>
      <c r="C16" s="710"/>
      <c r="D16" s="710"/>
      <c r="F16" s="700"/>
      <c r="G16" s="700"/>
      <c r="H16" s="707"/>
      <c r="I16" s="722" t="s">
        <v>226</v>
      </c>
      <c r="J16" s="719"/>
      <c r="K16" s="759">
        <v>8156</v>
      </c>
    </row>
    <row r="17" spans="1:11" ht="15" customHeight="1">
      <c r="A17" s="696"/>
      <c r="B17" s="711" t="s">
        <v>147</v>
      </c>
      <c r="C17" s="712">
        <v>0</v>
      </c>
      <c r="D17" s="712">
        <v>0</v>
      </c>
      <c r="F17" s="700"/>
      <c r="G17" s="700"/>
      <c r="H17" s="707"/>
      <c r="I17" s="722" t="s">
        <v>205</v>
      </c>
      <c r="J17" s="718"/>
      <c r="K17" s="759">
        <v>1950</v>
      </c>
    </row>
    <row r="18" spans="1:11" ht="19.5" customHeight="1">
      <c r="A18" s="697"/>
      <c r="B18" s="703" t="s">
        <v>11</v>
      </c>
      <c r="C18" s="704">
        <f>C17+C15</f>
        <v>349495</v>
      </c>
      <c r="D18" s="704">
        <f>D17+D15</f>
        <v>298466.49</v>
      </c>
      <c r="F18" s="700"/>
      <c r="G18" s="700"/>
      <c r="H18" s="707"/>
      <c r="I18" s="722" t="s">
        <v>210</v>
      </c>
      <c r="J18" s="718"/>
      <c r="K18" s="720">
        <v>50774</v>
      </c>
    </row>
    <row r="19" spans="8:11" ht="15" customHeight="1">
      <c r="H19" s="707"/>
      <c r="I19" s="701"/>
      <c r="J19" s="718"/>
      <c r="K19" s="720"/>
    </row>
    <row r="20" spans="1:11" ht="15" customHeight="1">
      <c r="A20" s="695" t="s">
        <v>131</v>
      </c>
      <c r="B20" s="695" t="s">
        <v>132</v>
      </c>
      <c r="C20" s="847" t="s">
        <v>133</v>
      </c>
      <c r="D20" s="848"/>
      <c r="H20" s="707">
        <v>85403</v>
      </c>
      <c r="I20" s="722" t="s">
        <v>524</v>
      </c>
      <c r="J20" s="718"/>
      <c r="K20" s="759">
        <v>114000</v>
      </c>
    </row>
    <row r="21" spans="1:11" ht="15" customHeight="1">
      <c r="A21" s="696"/>
      <c r="B21" s="696"/>
      <c r="C21" s="697" t="s">
        <v>121</v>
      </c>
      <c r="D21" s="697" t="s">
        <v>122</v>
      </c>
      <c r="H21" s="707"/>
      <c r="I21" s="722" t="s">
        <v>525</v>
      </c>
      <c r="J21" s="718"/>
      <c r="K21" s="759">
        <v>60500</v>
      </c>
    </row>
    <row r="22" spans="1:11" ht="15" customHeight="1">
      <c r="A22" s="698" t="s">
        <v>50</v>
      </c>
      <c r="B22" s="698" t="s">
        <v>55</v>
      </c>
      <c r="C22" s="699">
        <f>17300+640</f>
        <v>17940</v>
      </c>
      <c r="D22" s="699">
        <f>12074.54+213.1</f>
        <v>12287.640000000001</v>
      </c>
      <c r="H22" s="707">
        <v>85410</v>
      </c>
      <c r="I22" s="722" t="s">
        <v>210</v>
      </c>
      <c r="J22" s="718"/>
      <c r="K22" s="759">
        <v>66615</v>
      </c>
    </row>
    <row r="23" spans="1:11" ht="15" customHeight="1">
      <c r="A23" s="698" t="s">
        <v>50</v>
      </c>
      <c r="B23" s="698" t="s">
        <v>57</v>
      </c>
      <c r="C23" s="699">
        <f>29560+8156+1950+50774</f>
        <v>90440</v>
      </c>
      <c r="D23" s="699">
        <f>25805.76+7626.18+1655.54+50629.67</f>
        <v>85717.15</v>
      </c>
      <c r="H23" s="702"/>
      <c r="I23" s="702"/>
      <c r="J23" s="702"/>
      <c r="K23" s="721">
        <f>SUM(K13:K22)</f>
        <v>349495</v>
      </c>
    </row>
    <row r="24" spans="1:11" ht="15" customHeight="1">
      <c r="A24" s="698" t="s">
        <v>59</v>
      </c>
      <c r="B24" s="698" t="s">
        <v>60</v>
      </c>
      <c r="C24" s="699">
        <f>60500+114000</f>
        <v>174500</v>
      </c>
      <c r="D24" s="699">
        <f>50472.54+83374.66</f>
        <v>133847.2</v>
      </c>
      <c r="H24" s="702"/>
      <c r="I24" s="702"/>
      <c r="J24" s="702"/>
      <c r="K24" s="702"/>
    </row>
    <row r="25" spans="1:11" ht="15" customHeight="1">
      <c r="A25" s="698" t="s">
        <v>59</v>
      </c>
      <c r="B25" s="698" t="s">
        <v>64</v>
      </c>
      <c r="C25" s="699">
        <v>66615</v>
      </c>
      <c r="D25" s="699">
        <v>66614.5</v>
      </c>
      <c r="H25" s="702"/>
      <c r="I25" s="702"/>
      <c r="J25" s="702"/>
      <c r="K25" s="702"/>
    </row>
    <row r="26" spans="1:11" s="705" customFormat="1" ht="19.5" customHeight="1">
      <c r="A26" s="703"/>
      <c r="B26" s="703" t="s">
        <v>10</v>
      </c>
      <c r="C26" s="704">
        <f>SUM(C22:C25)</f>
        <v>349495</v>
      </c>
      <c r="D26" s="704">
        <f>SUM(D22:D25)</f>
        <v>298466.49</v>
      </c>
      <c r="H26" s="708"/>
      <c r="I26" s="708"/>
      <c r="J26" s="708"/>
      <c r="K26" s="708"/>
    </row>
    <row r="27" spans="1:11" ht="15" customHeight="1">
      <c r="A27" s="695"/>
      <c r="B27" s="709" t="s">
        <v>146</v>
      </c>
      <c r="C27" s="710"/>
      <c r="D27" s="710"/>
      <c r="H27" s="702"/>
      <c r="I27" s="702"/>
      <c r="J27" s="702"/>
      <c r="K27" s="702"/>
    </row>
    <row r="28" spans="1:11" ht="15" customHeight="1">
      <c r="A28" s="696"/>
      <c r="B28" s="711" t="s">
        <v>126</v>
      </c>
      <c r="C28" s="712">
        <v>0</v>
      </c>
      <c r="D28" s="712">
        <v>0</v>
      </c>
      <c r="F28" s="700"/>
      <c r="G28" s="700"/>
      <c r="H28" s="702"/>
      <c r="I28" s="702"/>
      <c r="J28" s="702"/>
      <c r="K28" s="702"/>
    </row>
    <row r="29" spans="1:4" s="705" customFormat="1" ht="19.5" customHeight="1">
      <c r="A29" s="703"/>
      <c r="B29" s="703" t="s">
        <v>11</v>
      </c>
      <c r="C29" s="704">
        <f>C28+C26</f>
        <v>349495</v>
      </c>
      <c r="D29" s="704">
        <f>D28+D26</f>
        <v>298466.49</v>
      </c>
    </row>
    <row r="31" spans="1:4" ht="15" customHeight="1">
      <c r="A31" s="839" t="s">
        <v>127</v>
      </c>
      <c r="B31" s="840"/>
      <c r="C31" s="695" t="s">
        <v>134</v>
      </c>
      <c r="D31" s="713" t="s">
        <v>136</v>
      </c>
    </row>
    <row r="32" spans="1:4" ht="15" customHeight="1">
      <c r="A32" s="714"/>
      <c r="B32" s="715"/>
      <c r="C32" s="696" t="s">
        <v>135</v>
      </c>
      <c r="D32" s="716" t="s">
        <v>135</v>
      </c>
    </row>
    <row r="33" spans="1:4" ht="15" customHeight="1">
      <c r="A33" s="841" t="s">
        <v>128</v>
      </c>
      <c r="B33" s="842"/>
      <c r="C33" s="699">
        <v>0</v>
      </c>
      <c r="D33" s="717">
        <v>0</v>
      </c>
    </row>
    <row r="34" spans="1:4" ht="15" customHeight="1">
      <c r="A34" s="841" t="s">
        <v>129</v>
      </c>
      <c r="B34" s="842"/>
      <c r="C34" s="699">
        <v>0</v>
      </c>
      <c r="D34" s="717">
        <v>0</v>
      </c>
    </row>
    <row r="36" spans="3:4" ht="15" customHeight="1">
      <c r="C36" s="700"/>
      <c r="D36" s="700"/>
    </row>
  </sheetData>
  <sheetProtection/>
  <mergeCells count="10">
    <mergeCell ref="A31:B31"/>
    <mergeCell ref="A33:B33"/>
    <mergeCell ref="A34:B34"/>
    <mergeCell ref="H13:H14"/>
    <mergeCell ref="A3:D3"/>
    <mergeCell ref="A4:D4"/>
    <mergeCell ref="A5:D5"/>
    <mergeCell ref="A7:D7"/>
    <mergeCell ref="C9:D9"/>
    <mergeCell ref="C20:D20"/>
  </mergeCells>
  <printOptions horizontalCentered="1"/>
  <pageMargins left="0.7874015748031497" right="0.7874015748031497" top="0.984251968503937" bottom="0.984251968503937" header="0.5118110236220472" footer="0.5118110236220472"/>
  <pageSetup firstPageNumber="101" useFirstPageNumber="1" horizontalDpi="600" verticalDpi="600" orientation="portrait" paperSize="9" scale="97" r:id="rId1"/>
  <headerFooter alignWithMargins="0"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G19" sqref="G19"/>
    </sheetView>
  </sheetViews>
  <sheetFormatPr defaultColWidth="9.00390625" defaultRowHeight="12.75"/>
  <cols>
    <col min="1" max="1" width="5.25390625" style="628" customWidth="1"/>
    <col min="2" max="2" width="9.125" style="628" customWidth="1"/>
    <col min="3" max="3" width="11.00390625" style="628" customWidth="1"/>
    <col min="4" max="4" width="6.125" style="628" customWidth="1"/>
    <col min="5" max="5" width="40.25390625" style="628" customWidth="1"/>
    <col min="6" max="7" width="14.375" style="628" customWidth="1"/>
    <col min="8" max="8" width="11.375" style="628" customWidth="1"/>
    <col min="9" max="9" width="10.75390625" style="628" customWidth="1"/>
    <col min="10" max="10" width="13.625" style="628" customWidth="1"/>
    <col min="11" max="12" width="11.75390625" style="628" customWidth="1"/>
    <col min="13" max="13" width="11.125" style="628" customWidth="1"/>
    <col min="14" max="14" width="10.125" style="628" bestFit="1" customWidth="1"/>
    <col min="15" max="16384" width="9.125" style="628" customWidth="1"/>
  </cols>
  <sheetData>
    <row r="1" ht="12.75">
      <c r="M1" s="629" t="s">
        <v>130</v>
      </c>
    </row>
    <row r="2" spans="1:13" ht="61.5" customHeight="1">
      <c r="A2" s="858" t="s">
        <v>639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</row>
    <row r="3" spans="5:10" ht="1.5" customHeight="1" thickBot="1">
      <c r="E3" s="630"/>
      <c r="F3" s="630"/>
      <c r="G3" s="631"/>
      <c r="H3" s="859"/>
      <c r="I3" s="859"/>
      <c r="J3" s="859"/>
    </row>
    <row r="4" spans="1:13" ht="30.75" customHeight="1" thickTop="1">
      <c r="A4" s="860" t="s">
        <v>173</v>
      </c>
      <c r="B4" s="862" t="s">
        <v>131</v>
      </c>
      <c r="C4" s="862" t="s">
        <v>132</v>
      </c>
      <c r="D4" s="862" t="s">
        <v>230</v>
      </c>
      <c r="E4" s="849" t="s">
        <v>231</v>
      </c>
      <c r="F4" s="851" t="s">
        <v>252</v>
      </c>
      <c r="G4" s="851" t="s">
        <v>232</v>
      </c>
      <c r="H4" s="853" t="s">
        <v>233</v>
      </c>
      <c r="I4" s="854"/>
      <c r="J4" s="854"/>
      <c r="K4" s="854" t="s">
        <v>234</v>
      </c>
      <c r="L4" s="854"/>
      <c r="M4" s="855"/>
    </row>
    <row r="5" spans="1:13" ht="15.75" customHeight="1" thickBot="1">
      <c r="A5" s="861"/>
      <c r="B5" s="863"/>
      <c r="C5" s="863"/>
      <c r="D5" s="863"/>
      <c r="E5" s="850"/>
      <c r="F5" s="852"/>
      <c r="G5" s="852"/>
      <c r="H5" s="632" t="s">
        <v>235</v>
      </c>
      <c r="I5" s="633" t="s">
        <v>236</v>
      </c>
      <c r="J5" s="633" t="s">
        <v>237</v>
      </c>
      <c r="K5" s="633" t="s">
        <v>235</v>
      </c>
      <c r="L5" s="633" t="s">
        <v>236</v>
      </c>
      <c r="M5" s="634" t="s">
        <v>237</v>
      </c>
    </row>
    <row r="6" spans="1:13" s="639" customFormat="1" ht="13.5" customHeight="1" thickBot="1" thickTop="1">
      <c r="A6" s="635">
        <v>1</v>
      </c>
      <c r="B6" s="636">
        <v>2</v>
      </c>
      <c r="C6" s="636">
        <v>3</v>
      </c>
      <c r="D6" s="636">
        <v>4</v>
      </c>
      <c r="E6" s="637">
        <v>5</v>
      </c>
      <c r="F6" s="638">
        <v>6</v>
      </c>
      <c r="G6" s="638">
        <v>6</v>
      </c>
      <c r="H6" s="638">
        <v>7</v>
      </c>
      <c r="I6" s="638">
        <v>8</v>
      </c>
      <c r="J6" s="638">
        <v>9</v>
      </c>
      <c r="K6" s="638">
        <v>10</v>
      </c>
      <c r="L6" s="638">
        <v>11</v>
      </c>
      <c r="M6" s="638">
        <v>12</v>
      </c>
    </row>
    <row r="7" spans="1:14" s="639" customFormat="1" ht="23.25" customHeight="1" thickBot="1" thickTop="1">
      <c r="A7" s="856" t="s">
        <v>238</v>
      </c>
      <c r="B7" s="857"/>
      <c r="C7" s="857"/>
      <c r="D7" s="857"/>
      <c r="E7" s="857"/>
      <c r="F7" s="640">
        <f aca="true" t="shared" si="0" ref="F7:M7">SUM(F8:F22)</f>
        <v>2928525</v>
      </c>
      <c r="G7" s="640">
        <f>SUM(G8:G22)</f>
        <v>2509928.17</v>
      </c>
      <c r="H7" s="641">
        <f t="shared" si="0"/>
        <v>0</v>
      </c>
      <c r="I7" s="642">
        <f t="shared" si="0"/>
        <v>0</v>
      </c>
      <c r="J7" s="642">
        <f t="shared" si="0"/>
        <v>1749876.3900000001</v>
      </c>
      <c r="K7" s="642">
        <f t="shared" si="0"/>
        <v>0</v>
      </c>
      <c r="L7" s="642">
        <f t="shared" si="0"/>
        <v>683886.34</v>
      </c>
      <c r="M7" s="643">
        <f t="shared" si="0"/>
        <v>76165.44</v>
      </c>
      <c r="N7" s="644"/>
    </row>
    <row r="8" spans="1:13" ht="18.75" customHeight="1" thickTop="1">
      <c r="A8" s="645" t="s">
        <v>239</v>
      </c>
      <c r="B8" s="646" t="s">
        <v>31</v>
      </c>
      <c r="C8" s="646" t="s">
        <v>501</v>
      </c>
      <c r="D8" s="646" t="s">
        <v>545</v>
      </c>
      <c r="E8" s="647" t="s">
        <v>603</v>
      </c>
      <c r="F8" s="648">
        <v>40000</v>
      </c>
      <c r="G8" s="649">
        <f aca="true" t="shared" si="1" ref="G8:G22">SUM(H8:M8)</f>
        <v>40000</v>
      </c>
      <c r="H8" s="650"/>
      <c r="I8" s="651"/>
      <c r="J8" s="652"/>
      <c r="K8" s="651"/>
      <c r="L8" s="651"/>
      <c r="M8" s="758">
        <v>40000</v>
      </c>
    </row>
    <row r="9" spans="1:13" ht="20.25" customHeight="1">
      <c r="A9" s="653" t="s">
        <v>241</v>
      </c>
      <c r="B9" s="654" t="s">
        <v>94</v>
      </c>
      <c r="C9" s="654" t="s">
        <v>95</v>
      </c>
      <c r="D9" s="654" t="s">
        <v>100</v>
      </c>
      <c r="E9" s="655" t="s">
        <v>240</v>
      </c>
      <c r="F9" s="656">
        <v>1232400</v>
      </c>
      <c r="G9" s="657">
        <f>SUM(H9:M9)</f>
        <v>1171531.48</v>
      </c>
      <c r="H9" s="658"/>
      <c r="I9" s="659"/>
      <c r="J9" s="660">
        <v>1171531.48</v>
      </c>
      <c r="K9" s="659"/>
      <c r="L9" s="659"/>
      <c r="M9" s="661"/>
    </row>
    <row r="10" spans="1:13" ht="17.25" customHeight="1">
      <c r="A10" s="653" t="s">
        <v>242</v>
      </c>
      <c r="B10" s="654" t="s">
        <v>94</v>
      </c>
      <c r="C10" s="654" t="s">
        <v>98</v>
      </c>
      <c r="D10" s="654" t="s">
        <v>100</v>
      </c>
      <c r="E10" s="655" t="s">
        <v>29</v>
      </c>
      <c r="F10" s="656">
        <v>590500</v>
      </c>
      <c r="G10" s="662">
        <f t="shared" si="1"/>
        <v>548677.91</v>
      </c>
      <c r="H10" s="658"/>
      <c r="I10" s="659"/>
      <c r="J10" s="660">
        <v>548677.91</v>
      </c>
      <c r="K10" s="659"/>
      <c r="L10" s="659"/>
      <c r="M10" s="661"/>
    </row>
    <row r="11" spans="1:13" ht="16.5" customHeight="1">
      <c r="A11" s="653" t="s">
        <v>243</v>
      </c>
      <c r="B11" s="654" t="s">
        <v>66</v>
      </c>
      <c r="C11" s="654" t="s">
        <v>80</v>
      </c>
      <c r="D11" s="654" t="s">
        <v>139</v>
      </c>
      <c r="E11" s="655" t="s">
        <v>81</v>
      </c>
      <c r="F11" s="656">
        <v>5000</v>
      </c>
      <c r="G11" s="662">
        <f t="shared" si="1"/>
        <v>5000</v>
      </c>
      <c r="H11" s="658"/>
      <c r="I11" s="659"/>
      <c r="J11" s="660">
        <f>5000</f>
        <v>5000</v>
      </c>
      <c r="K11" s="659"/>
      <c r="L11" s="659"/>
      <c r="M11" s="661"/>
    </row>
    <row r="12" spans="1:14" ht="30" customHeight="1">
      <c r="A12" s="653" t="s">
        <v>244</v>
      </c>
      <c r="B12" s="663" t="s">
        <v>50</v>
      </c>
      <c r="C12" s="663" t="s">
        <v>55</v>
      </c>
      <c r="D12" s="663" t="s">
        <v>228</v>
      </c>
      <c r="E12" s="664" t="s">
        <v>383</v>
      </c>
      <c r="F12" s="662">
        <v>77440</v>
      </c>
      <c r="G12" s="662">
        <f t="shared" si="1"/>
        <v>54560</v>
      </c>
      <c r="H12" s="658"/>
      <c r="I12" s="665"/>
      <c r="J12" s="659"/>
      <c r="K12" s="659"/>
      <c r="L12" s="665">
        <f>5828+4836+5084+5332+3720+7068+5580+5580+4216+1240+3224+2852</f>
        <v>54560</v>
      </c>
      <c r="M12" s="661"/>
      <c r="N12" s="666"/>
    </row>
    <row r="13" spans="1:14" ht="29.25" customHeight="1">
      <c r="A13" s="653" t="s">
        <v>245</v>
      </c>
      <c r="B13" s="663" t="s">
        <v>50</v>
      </c>
      <c r="C13" s="663" t="s">
        <v>55</v>
      </c>
      <c r="D13" s="663" t="s">
        <v>228</v>
      </c>
      <c r="E13" s="664" t="s">
        <v>601</v>
      </c>
      <c r="F13" s="662">
        <v>279000</v>
      </c>
      <c r="G13" s="662">
        <f t="shared" si="1"/>
        <v>225475</v>
      </c>
      <c r="H13" s="658"/>
      <c r="I13" s="665"/>
      <c r="J13" s="659"/>
      <c r="K13" s="659"/>
      <c r="L13" s="665">
        <f>13485+14935+12180+13195+17690+17690+17690+33640+31320+29290+30885-6525</f>
        <v>225475</v>
      </c>
      <c r="M13" s="661"/>
      <c r="N13" s="666"/>
    </row>
    <row r="14" spans="1:13" ht="33" customHeight="1">
      <c r="A14" s="653" t="s">
        <v>246</v>
      </c>
      <c r="B14" s="663" t="s">
        <v>50</v>
      </c>
      <c r="C14" s="663" t="s">
        <v>55</v>
      </c>
      <c r="D14" s="663" t="s">
        <v>228</v>
      </c>
      <c r="E14" s="664" t="s">
        <v>604</v>
      </c>
      <c r="F14" s="662">
        <v>52000</v>
      </c>
      <c r="G14" s="662">
        <f t="shared" si="1"/>
        <v>0</v>
      </c>
      <c r="H14" s="658"/>
      <c r="I14" s="665"/>
      <c r="J14" s="659"/>
      <c r="K14" s="659"/>
      <c r="L14" s="665">
        <v>0</v>
      </c>
      <c r="M14" s="661"/>
    </row>
    <row r="15" spans="1:13" ht="42" customHeight="1">
      <c r="A15" s="653" t="s">
        <v>247</v>
      </c>
      <c r="B15" s="663" t="s">
        <v>50</v>
      </c>
      <c r="C15" s="663" t="s">
        <v>55</v>
      </c>
      <c r="D15" s="663" t="s">
        <v>228</v>
      </c>
      <c r="E15" s="664" t="s">
        <v>605</v>
      </c>
      <c r="F15" s="662">
        <v>73200</v>
      </c>
      <c r="G15" s="662">
        <f t="shared" si="1"/>
        <v>0</v>
      </c>
      <c r="H15" s="658"/>
      <c r="I15" s="665"/>
      <c r="J15" s="659"/>
      <c r="K15" s="659"/>
      <c r="L15" s="665">
        <v>0</v>
      </c>
      <c r="M15" s="661"/>
    </row>
    <row r="16" spans="1:13" ht="33" customHeight="1">
      <c r="A16" s="653" t="s">
        <v>248</v>
      </c>
      <c r="B16" s="663" t="s">
        <v>50</v>
      </c>
      <c r="C16" s="663" t="s">
        <v>55</v>
      </c>
      <c r="D16" s="663" t="s">
        <v>228</v>
      </c>
      <c r="E16" s="664" t="s">
        <v>544</v>
      </c>
      <c r="F16" s="662">
        <v>77440</v>
      </c>
      <c r="G16" s="662">
        <f>SUM(H16:M16)</f>
        <v>54312</v>
      </c>
      <c r="H16" s="658"/>
      <c r="I16" s="665"/>
      <c r="J16" s="659"/>
      <c r="K16" s="659"/>
      <c r="L16" s="665">
        <f>3968+4092+3968+4092+4092+4092+4092+4092+6076+4836+5208+5704</f>
        <v>54312</v>
      </c>
      <c r="M16" s="661"/>
    </row>
    <row r="17" spans="1:14" ht="30" customHeight="1">
      <c r="A17" s="653" t="s">
        <v>249</v>
      </c>
      <c r="B17" s="663" t="s">
        <v>50</v>
      </c>
      <c r="C17" s="663" t="s">
        <v>57</v>
      </c>
      <c r="D17" s="663" t="s">
        <v>228</v>
      </c>
      <c r="E17" s="664" t="s">
        <v>384</v>
      </c>
      <c r="F17" s="662">
        <v>289778</v>
      </c>
      <c r="G17" s="662">
        <f t="shared" si="1"/>
        <v>270848.33999999997</v>
      </c>
      <c r="H17" s="658"/>
      <c r="I17" s="665"/>
      <c r="J17" s="659"/>
      <c r="K17" s="659"/>
      <c r="L17" s="665">
        <f>22929.66+22929.66+996.3+22856.4+22856.4+21142.17+21142.17+21142.17+21142.17+23999.22+23999.22+22856.4+22856.4</f>
        <v>270848.33999999997</v>
      </c>
      <c r="M17" s="661"/>
      <c r="N17" s="666"/>
    </row>
    <row r="18" spans="1:14" ht="30" customHeight="1">
      <c r="A18" s="653" t="s">
        <v>250</v>
      </c>
      <c r="B18" s="667" t="s">
        <v>50</v>
      </c>
      <c r="C18" s="667" t="s">
        <v>57</v>
      </c>
      <c r="D18" s="667" t="s">
        <v>100</v>
      </c>
      <c r="E18" s="668" t="s">
        <v>469</v>
      </c>
      <c r="F18" s="657">
        <v>80000</v>
      </c>
      <c r="G18" s="662">
        <f t="shared" si="1"/>
        <v>20800</v>
      </c>
      <c r="H18" s="669"/>
      <c r="I18" s="670"/>
      <c r="J18" s="671">
        <f>4000+3200+1200+2000+400+1600+3600+1200+1600+400+1600</f>
        <v>20800</v>
      </c>
      <c r="K18" s="671"/>
      <c r="L18" s="670"/>
      <c r="M18" s="672"/>
      <c r="N18" s="666"/>
    </row>
    <row r="19" spans="1:14" ht="44.25" customHeight="1">
      <c r="A19" s="653" t="s">
        <v>385</v>
      </c>
      <c r="B19" s="667" t="s">
        <v>50</v>
      </c>
      <c r="C19" s="667" t="s">
        <v>350</v>
      </c>
      <c r="D19" s="667" t="s">
        <v>139</v>
      </c>
      <c r="E19" s="668" t="s">
        <v>607</v>
      </c>
      <c r="F19" s="657">
        <v>5000</v>
      </c>
      <c r="G19" s="662">
        <f t="shared" si="1"/>
        <v>3867</v>
      </c>
      <c r="H19" s="669"/>
      <c r="I19" s="670"/>
      <c r="J19" s="671">
        <v>3867</v>
      </c>
      <c r="K19" s="671"/>
      <c r="L19" s="670"/>
      <c r="M19" s="672"/>
      <c r="N19" s="666"/>
    </row>
    <row r="20" spans="1:13" ht="24.75" customHeight="1">
      <c r="A20" s="653" t="s">
        <v>433</v>
      </c>
      <c r="B20" s="667" t="s">
        <v>28</v>
      </c>
      <c r="C20" s="667" t="s">
        <v>170</v>
      </c>
      <c r="D20" s="667" t="s">
        <v>229</v>
      </c>
      <c r="E20" s="668" t="s">
        <v>539</v>
      </c>
      <c r="F20" s="657">
        <v>78767</v>
      </c>
      <c r="G20" s="662">
        <f t="shared" si="1"/>
        <v>78691</v>
      </c>
      <c r="H20" s="669"/>
      <c r="I20" s="671"/>
      <c r="J20" s="671"/>
      <c r="K20" s="671"/>
      <c r="L20" s="670">
        <v>78691</v>
      </c>
      <c r="M20" s="672"/>
    </row>
    <row r="21" spans="1:13" ht="24.75" customHeight="1">
      <c r="A21" s="653" t="s">
        <v>434</v>
      </c>
      <c r="B21" s="663" t="s">
        <v>66</v>
      </c>
      <c r="C21" s="663" t="s">
        <v>379</v>
      </c>
      <c r="D21" s="663" t="s">
        <v>380</v>
      </c>
      <c r="E21" s="691" t="s">
        <v>606</v>
      </c>
      <c r="F21" s="662">
        <v>45000</v>
      </c>
      <c r="G21" s="662">
        <f>SUM(H21:M21)</f>
        <v>36165.44</v>
      </c>
      <c r="H21" s="658"/>
      <c r="I21" s="692"/>
      <c r="J21" s="692"/>
      <c r="K21" s="692"/>
      <c r="L21" s="665"/>
      <c r="M21" s="672">
        <f>14000+4800+5000+13700-1334.54-0.02</f>
        <v>36165.44</v>
      </c>
    </row>
    <row r="22" spans="1:13" ht="27.75" customHeight="1" thickBot="1">
      <c r="A22" s="683" t="s">
        <v>435</v>
      </c>
      <c r="B22" s="684" t="s">
        <v>66</v>
      </c>
      <c r="C22" s="684" t="s">
        <v>366</v>
      </c>
      <c r="D22" s="684" t="s">
        <v>139</v>
      </c>
      <c r="E22" s="685" t="s">
        <v>626</v>
      </c>
      <c r="F22" s="686">
        <v>3000</v>
      </c>
      <c r="G22" s="686">
        <f t="shared" si="1"/>
        <v>0</v>
      </c>
      <c r="H22" s="687"/>
      <c r="I22" s="688"/>
      <c r="J22" s="688">
        <v>0</v>
      </c>
      <c r="K22" s="688"/>
      <c r="L22" s="689"/>
      <c r="M22" s="690"/>
    </row>
    <row r="23" spans="1:13" ht="23.25" customHeight="1" thickBot="1" thickTop="1">
      <c r="A23" s="856" t="s">
        <v>251</v>
      </c>
      <c r="B23" s="857"/>
      <c r="C23" s="857"/>
      <c r="D23" s="857"/>
      <c r="E23" s="857"/>
      <c r="F23" s="640">
        <f aca="true" t="shared" si="2" ref="F23:M23">SUM(F24:F24)</f>
        <v>250000</v>
      </c>
      <c r="G23" s="640">
        <f t="shared" si="2"/>
        <v>249996.63</v>
      </c>
      <c r="H23" s="640">
        <f t="shared" si="2"/>
        <v>0</v>
      </c>
      <c r="I23" s="640">
        <f t="shared" si="2"/>
        <v>0</v>
      </c>
      <c r="J23" s="640">
        <f t="shared" si="2"/>
        <v>249996.63</v>
      </c>
      <c r="K23" s="640">
        <f t="shared" si="2"/>
        <v>0</v>
      </c>
      <c r="L23" s="640">
        <f t="shared" si="2"/>
        <v>0</v>
      </c>
      <c r="M23" s="640">
        <f t="shared" si="2"/>
        <v>0</v>
      </c>
    </row>
    <row r="24" spans="1:13" ht="33.75" customHeight="1" thickBot="1" thickTop="1">
      <c r="A24" s="653" t="s">
        <v>239</v>
      </c>
      <c r="B24" s="674">
        <v>851</v>
      </c>
      <c r="C24" s="674">
        <v>85141</v>
      </c>
      <c r="D24" s="674">
        <v>6220</v>
      </c>
      <c r="E24" s="675" t="s">
        <v>627</v>
      </c>
      <c r="F24" s="656">
        <v>250000</v>
      </c>
      <c r="G24" s="673">
        <f>SUM(H24:M24)</f>
        <v>249996.63</v>
      </c>
      <c r="H24" s="658"/>
      <c r="I24" s="659"/>
      <c r="J24" s="660">
        <v>249996.63</v>
      </c>
      <c r="K24" s="659"/>
      <c r="L24" s="659"/>
      <c r="M24" s="661"/>
    </row>
    <row r="25" spans="1:14" s="681" customFormat="1" ht="23.25" customHeight="1" thickBot="1" thickTop="1">
      <c r="A25" s="856" t="s">
        <v>224</v>
      </c>
      <c r="B25" s="857"/>
      <c r="C25" s="857"/>
      <c r="D25" s="857"/>
      <c r="E25" s="857"/>
      <c r="F25" s="676">
        <f aca="true" t="shared" si="3" ref="F25:M25">F7+F23</f>
        <v>3178525</v>
      </c>
      <c r="G25" s="676">
        <f t="shared" si="3"/>
        <v>2759924.8</v>
      </c>
      <c r="H25" s="677">
        <f t="shared" si="3"/>
        <v>0</v>
      </c>
      <c r="I25" s="678">
        <f t="shared" si="3"/>
        <v>0</v>
      </c>
      <c r="J25" s="678">
        <f t="shared" si="3"/>
        <v>1999873.02</v>
      </c>
      <c r="K25" s="678">
        <f t="shared" si="3"/>
        <v>0</v>
      </c>
      <c r="L25" s="678">
        <f t="shared" si="3"/>
        <v>683886.34</v>
      </c>
      <c r="M25" s="679">
        <f t="shared" si="3"/>
        <v>76165.44</v>
      </c>
      <c r="N25" s="680"/>
    </row>
    <row r="26" ht="13.5" thickTop="1"/>
    <row r="27" ht="12.75">
      <c r="A27" s="682"/>
    </row>
  </sheetData>
  <sheetProtection/>
  <mergeCells count="14">
    <mergeCell ref="A25:E25"/>
    <mergeCell ref="F4:F5"/>
    <mergeCell ref="A2:M2"/>
    <mergeCell ref="H3:J3"/>
    <mergeCell ref="A4:A5"/>
    <mergeCell ref="B4:B5"/>
    <mergeCell ref="C4:C5"/>
    <mergeCell ref="D4:D5"/>
    <mergeCell ref="E4:E5"/>
    <mergeCell ref="G4:G5"/>
    <mergeCell ref="H4:J4"/>
    <mergeCell ref="K4:M4"/>
    <mergeCell ref="A7:E7"/>
    <mergeCell ref="A23:E23"/>
  </mergeCells>
  <printOptions horizontalCentered="1"/>
  <pageMargins left="0.3937007874015748" right="0.3937007874015748" top="0.5905511811023623" bottom="0.1968503937007874" header="0.5118110236220472" footer="0.5118110236220472"/>
  <pageSetup firstPageNumber="102" useFirstPageNumber="1" horizontalDpi="600" verticalDpi="600" orientation="landscape" paperSize="9" scale="8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Kozłowska</dc:creator>
  <cp:keywords/>
  <dc:description/>
  <cp:lastModifiedBy>Renata</cp:lastModifiedBy>
  <cp:lastPrinted>2016-03-15T06:38:20Z</cp:lastPrinted>
  <dcterms:created xsi:type="dcterms:W3CDTF">1999-01-06T18:17:03Z</dcterms:created>
  <dcterms:modified xsi:type="dcterms:W3CDTF">2016-04-12T13:24:12Z</dcterms:modified>
  <cp:category/>
  <cp:version/>
  <cp:contentType/>
  <cp:contentStatus/>
</cp:coreProperties>
</file>